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9440" windowHeight="12855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C22" i="2" l="1"/>
  <c r="C21" i="2"/>
  <c r="C20" i="2"/>
  <c r="C18" i="2"/>
  <c r="C4" i="2"/>
  <c r="C3" i="2"/>
  <c r="G48" i="1" l="1"/>
  <c r="G47" i="1"/>
  <c r="G44" i="1"/>
  <c r="G43" i="1"/>
  <c r="G42" i="1"/>
  <c r="G41" i="1"/>
  <c r="G40" i="1"/>
  <c r="G39" i="1"/>
  <c r="G38" i="1"/>
  <c r="G37" i="1"/>
  <c r="G35" i="1"/>
  <c r="G34" i="1"/>
  <c r="G32" i="1"/>
  <c r="G31" i="1"/>
  <c r="G30" i="1"/>
  <c r="G28" i="1"/>
  <c r="G23" i="1"/>
  <c r="G19" i="1"/>
  <c r="G18" i="1"/>
  <c r="G9" i="1"/>
  <c r="G8" i="1"/>
  <c r="G7" i="1"/>
  <c r="D38" i="1"/>
  <c r="D39" i="1"/>
  <c r="D40" i="1"/>
  <c r="D41" i="1"/>
  <c r="D42" i="1"/>
  <c r="D43" i="1"/>
  <c r="D44" i="1"/>
  <c r="D47" i="1"/>
  <c r="D48" i="1"/>
  <c r="D49" i="1"/>
  <c r="D50" i="1"/>
  <c r="D51" i="1"/>
  <c r="D52" i="1"/>
  <c r="D53" i="1"/>
  <c r="D37" i="1"/>
  <c r="D28" i="1"/>
  <c r="D30" i="1"/>
  <c r="D31" i="1"/>
  <c r="D32" i="1"/>
  <c r="D34" i="1"/>
  <c r="D35" i="1"/>
  <c r="D14" i="1"/>
  <c r="D18" i="1"/>
  <c r="D19" i="1"/>
  <c r="D7" i="1"/>
  <c r="D8" i="1"/>
  <c r="D9" i="1"/>
  <c r="C53" i="1"/>
  <c r="C52" i="1"/>
  <c r="C51" i="1"/>
  <c r="C50" i="1"/>
  <c r="C49" i="1"/>
  <c r="C48" i="1"/>
  <c r="C47" i="1"/>
  <c r="C46" i="1"/>
  <c r="G46" i="1" s="1"/>
  <c r="C45" i="1"/>
  <c r="D45" i="1" s="1"/>
  <c r="C44" i="1"/>
  <c r="C43" i="1"/>
  <c r="C42" i="1"/>
  <c r="C41" i="1"/>
  <c r="C40" i="1"/>
  <c r="C39" i="1"/>
  <c r="C38" i="1"/>
  <c r="C37" i="1"/>
  <c r="C35" i="1"/>
  <c r="C34" i="1"/>
  <c r="C33" i="1"/>
  <c r="D33" i="1" s="1"/>
  <c r="C32" i="1"/>
  <c r="C31" i="1"/>
  <c r="C30" i="1"/>
  <c r="C29" i="1"/>
  <c r="D29" i="1" s="1"/>
  <c r="C28" i="1"/>
  <c r="C27" i="1"/>
  <c r="G27" i="1" s="1"/>
  <c r="C26" i="1"/>
  <c r="G26" i="1" s="1"/>
  <c r="C25" i="1"/>
  <c r="G25" i="1" s="1"/>
  <c r="C24" i="1"/>
  <c r="G24" i="1" s="1"/>
  <c r="C23" i="1"/>
  <c r="D23" i="1" s="1"/>
  <c r="C21" i="1"/>
  <c r="G21" i="1" s="1"/>
  <c r="C20" i="1"/>
  <c r="D20" i="1" s="1"/>
  <c r="C19" i="1"/>
  <c r="C18" i="1"/>
  <c r="C16" i="1"/>
  <c r="F16" i="1" s="1"/>
  <c r="G16" i="1" s="1"/>
  <c r="C15" i="1"/>
  <c r="D15" i="1" s="1"/>
  <c r="C14" i="1"/>
  <c r="G14" i="1" s="1"/>
  <c r="C12" i="1"/>
  <c r="G12" i="1" s="1"/>
  <c r="C11" i="1"/>
  <c r="F11" i="1" s="1"/>
  <c r="G11" i="1" s="1"/>
  <c r="C9" i="1"/>
  <c r="C8" i="1"/>
  <c r="C7" i="1"/>
  <c r="C5" i="1"/>
  <c r="G5" i="1" s="1"/>
  <c r="C29" i="2"/>
  <c r="D46" i="1" l="1"/>
  <c r="G45" i="1"/>
  <c r="G33" i="1"/>
  <c r="G29" i="1"/>
  <c r="D27" i="1"/>
  <c r="D26" i="1"/>
  <c r="D25" i="1"/>
  <c r="D24" i="1"/>
  <c r="D21" i="1"/>
  <c r="G20" i="1"/>
  <c r="D16" i="1"/>
  <c r="F15" i="1"/>
  <c r="G15" i="1" s="1"/>
  <c r="D12" i="1"/>
  <c r="D11" i="1"/>
  <c r="D5" i="1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33" i="2"/>
  <c r="D21" i="2"/>
  <c r="D22" i="2"/>
  <c r="D23" i="2"/>
  <c r="D24" i="2"/>
  <c r="D25" i="2"/>
  <c r="D26" i="2"/>
  <c r="D27" i="2"/>
  <c r="D28" i="2"/>
  <c r="D29" i="2"/>
  <c r="D30" i="2"/>
  <c r="D31" i="2"/>
  <c r="D20" i="2"/>
  <c r="D18" i="2"/>
  <c r="D5" i="2"/>
  <c r="D6" i="2"/>
  <c r="D8" i="2"/>
  <c r="D9" i="2"/>
  <c r="D11" i="2"/>
  <c r="D12" i="2"/>
  <c r="D13" i="2"/>
  <c r="D15" i="2"/>
  <c r="D16" i="2"/>
  <c r="D17" i="2"/>
  <c r="D3" i="2"/>
  <c r="C10" i="2"/>
  <c r="C7" i="2"/>
  <c r="D7" i="2" s="1"/>
  <c r="C6" i="1"/>
  <c r="C54" i="1"/>
  <c r="C48" i="2"/>
  <c r="D10" i="2" l="1"/>
  <c r="C13" i="1"/>
  <c r="G6" i="1"/>
  <c r="D6" i="1"/>
  <c r="C14" i="2"/>
  <c r="D4" i="2"/>
  <c r="C34" i="3"/>
  <c r="D34" i="3" s="1"/>
  <c r="D36" i="3"/>
  <c r="D35" i="3"/>
  <c r="D13" i="1" l="1"/>
  <c r="G13" i="1"/>
  <c r="D14" i="2"/>
  <c r="C17" i="1"/>
  <c r="C12" i="3"/>
  <c r="D12" i="3" s="1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17" i="3"/>
  <c r="D13" i="3"/>
  <c r="D14" i="3"/>
  <c r="D15" i="3"/>
  <c r="D11" i="3"/>
  <c r="D6" i="3"/>
  <c r="D7" i="3"/>
  <c r="D8" i="3"/>
  <c r="D9" i="3"/>
  <c r="D5" i="3"/>
  <c r="C9" i="3"/>
  <c r="C6" i="3"/>
  <c r="C5" i="3"/>
  <c r="G17" i="1" l="1"/>
  <c r="G54" i="1" s="1"/>
  <c r="D17" i="1"/>
  <c r="A1" i="2"/>
  <c r="K6" i="1" l="1"/>
  <c r="C32" i="2"/>
</calcChain>
</file>

<file path=xl/sharedStrings.xml><?xml version="1.0" encoding="utf-8"?>
<sst xmlns="http://schemas.openxmlformats.org/spreadsheetml/2006/main" count="219" uniqueCount="102">
  <si>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</si>
  <si>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</si>
  <si>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</si>
  <si>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</si>
  <si>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</si>
  <si>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</si>
  <si>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</si>
  <si>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</si>
  <si>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</si>
  <si>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</si>
  <si>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</si>
  <si>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</si>
  <si>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</si>
  <si>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</si>
  <si>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</si>
  <si>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</si>
  <si>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</si>
  <si>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</si>
  <si>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</si>
  <si>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</si>
  <si>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</si>
  <si>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</si>
  <si>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</si>
  <si>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</si>
  <si>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</si>
  <si>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</si>
  <si>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</si>
  <si>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</si>
  <si>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</si>
  <si>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</si>
  <si>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</si>
  <si>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</si>
  <si>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</si>
  <si>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</si>
  <si>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</si>
  <si>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</si>
  <si>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</si>
  <si>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</si>
  <si>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</si>
  <si>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</si>
  <si>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</si>
  <si>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</si>
  <si>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</si>
  <si>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</si>
  <si>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</si>
  <si>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</si>
  <si>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</si>
  <si>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</si>
  <si>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</si>
  <si>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</si>
  <si>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</si>
  <si>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</si>
  <si>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</si>
  <si>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</si>
  <si>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</si>
  <si>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</si>
  <si>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</si>
  <si>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</si>
  <si>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</si>
  <si>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</si>
  <si>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</si>
  <si>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</si>
  <si>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</si>
  <si>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</si>
  <si>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</si>
  <si>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</si>
  <si>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</si>
  <si>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</si>
  <si>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</si>
  <si>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</si>
  <si>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Áreas Contaminadas e Reabilitadas - Ano 2019</t>
  </si>
  <si>
    <r>
      <t>Num_Regional:</t>
    </r>
    <r>
      <rPr>
        <sz val="9"/>
        <color rgb="FF333333"/>
        <rFont val="Arial"/>
        <family val="2"/>
      </rPr>
      <t> 5</t>
    </r>
  </si>
  <si>
    <r>
      <t>Nome_Regional:</t>
    </r>
    <r>
      <rPr>
        <sz val="9"/>
        <color rgb="FF333333"/>
        <rFont val="Arial"/>
        <family val="2"/>
      </rPr>
      <t> Campinas</t>
    </r>
  </si>
  <si>
    <r>
      <t>Atividade:</t>
    </r>
    <r>
      <rPr>
        <sz val="9"/>
        <color rgb="FF333333"/>
        <rFont val="Arial"/>
        <family val="2"/>
      </rPr>
      <t> INDÚSTRIA</t>
    </r>
  </si>
  <si>
    <t>Complemento:</t>
  </si>
  <si>
    <r>
      <t>Seq:</t>
    </r>
    <r>
      <rPr>
        <sz val="9"/>
        <color rgb="FF333333"/>
        <rFont val="Arial"/>
        <family val="2"/>
      </rPr>
      <t> 16719</t>
    </r>
  </si>
  <si>
    <r>
      <t>Razao_Social:</t>
    </r>
    <r>
      <rPr>
        <sz val="9"/>
        <color rgb="FF333333"/>
        <rFont val="Arial"/>
        <family val="2"/>
      </rPr>
      <t> DANA INDÚSTRIAS LTDA (ANTIGA SIFCO S/A)</t>
    </r>
  </si>
  <si>
    <t>Endereco: AV. BARÃO SMITH DE VASCONCELLOS</t>
  </si>
  <si>
    <r>
      <t>Numero:</t>
    </r>
    <r>
      <rPr>
        <sz val="9"/>
        <color rgb="FF333333"/>
        <rFont val="Arial"/>
        <family val="2"/>
      </rPr>
      <t> 1000</t>
    </r>
  </si>
  <si>
    <r>
      <t>Classificacao:</t>
    </r>
    <r>
      <rPr>
        <sz val="9"/>
        <color rgb="FF333333"/>
        <rFont val="Arial"/>
        <family val="2"/>
      </rPr>
      <t> EM PROCESSO DE MONITORAMENTO PARA ENCERRAMENTO (AME)</t>
    </r>
  </si>
  <si>
    <t>PLANTIO COMPENSATÓRIO EXECUTADO</t>
  </si>
  <si>
    <t>DESCARTE DE RESÍDUOS</t>
  </si>
  <si>
    <t>VEGETAÇÃO EXÓTICA</t>
  </si>
  <si>
    <t>EQUIPAMENTO PÚBLICO INSTITUCIONAL (LINHA DE TRANSMISSÃO DE ENERGIA)</t>
  </si>
  <si>
    <t>PLANTIO COMPENSATÓIRIO EXECUTADO</t>
  </si>
  <si>
    <t>INICIAL</t>
  </si>
  <si>
    <t>VEGETAÇÃO PIONEIRA</t>
  </si>
  <si>
    <t>9.1</t>
  </si>
  <si>
    <t>9.2</t>
  </si>
  <si>
    <t>9.3</t>
  </si>
  <si>
    <t>9.4</t>
  </si>
  <si>
    <t>9.5</t>
  </si>
  <si>
    <t>VIA NÃO ASFALTADA</t>
  </si>
  <si>
    <t>ÁREA DO PARQUE LINEAR</t>
  </si>
  <si>
    <t>ÁREA DO PROJETO APROVADO</t>
  </si>
  <si>
    <t>ÁREA TOTAL (PARQUE LINEAR + PROJETO APROVADO)</t>
  </si>
  <si>
    <t>PRESENTE</t>
  </si>
  <si>
    <t>EQUIPAMENTO PÚBLICO INSTITUCIONAL (DUTOS)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</si>
  <si>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PIUM</t>
  </si>
  <si>
    <t>edificações = churrasqueiras, centro comunitário, centro de educação ambiental e escola técnica, BANHEIROS E VESTIARIOS</t>
  </si>
  <si>
    <t>QUADRO DE ÁREAS</t>
  </si>
  <si>
    <t>PARQUE LINEAR DO CÓRREGO PIUM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</si>
</sst>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333333"/>
      <name val="Arial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7" fillId="0" borderId="6" xfId="0" applyFont="1" applyBorder="1"/>
    <xf numFmtId="0" fontId="7" fillId="0" borderId="4" xfId="0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7" fillId="0" borderId="9" xfId="0" applyFont="1" applyBorder="1"/>
    <xf numFmtId="0" fontId="7" fillId="0" borderId="10" xfId="0" applyFont="1" applyBorder="1" applyAlignment="1">
      <alignment horizontal="left" vertical="center" wrapText="1" indent="1"/>
    </xf>
    <xf numFmtId="0" fontId="7" fillId="0" borderId="11" xfId="0" applyFont="1" applyBorder="1" applyAlignment="1">
      <alignment horizontal="left" vertical="center" wrapText="1" indent="1"/>
    </xf>
    <xf numFmtId="4" fontId="0" fillId="0" borderId="0" xfId="0" applyNumberFormat="1"/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zoomScaleNormal="100" workbookViewId="0">
      <selection activeCell="I43" sqref="I43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7" max="7" width="19.7109375" customWidth="1"/>
    <col min="10" max="10" width="16.140625" customWidth="1"/>
    <col min="11" max="11" width="18.85546875" customWidth="1"/>
  </cols>
  <sheetData>
    <row r="1" spans="1:11" x14ac:dyDescent="0.25">
      <c r="A1" s="44" t="s">
        <v>98</v>
      </c>
      <c r="B1" s="44"/>
      <c r="C1" s="44"/>
      <c r="D1" s="44"/>
      <c r="E1" s="44"/>
      <c r="F1" s="44"/>
      <c r="G1" s="44"/>
    </row>
    <row r="2" spans="1:11" x14ac:dyDescent="0.25">
      <c r="A2" s="44"/>
      <c r="B2" s="44"/>
      <c r="C2" s="44"/>
      <c r="D2" s="44"/>
      <c r="E2" s="44"/>
      <c r="F2" s="44"/>
      <c r="G2" s="44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47" t="s">
        <v>68</v>
      </c>
      <c r="K4" s="47"/>
    </row>
    <row r="5" spans="1:11" x14ac:dyDescent="0.25">
      <c r="A5" s="2">
        <v>1</v>
      </c>
      <c r="B5" s="3" t="s">
        <v>8</v>
      </c>
      <c r="C5" s="4">
        <f>'2 - QA PGI'!C3</f>
        <v>16421.4486</v>
      </c>
      <c r="D5" s="4">
        <f>(100*C5)/$C$54</f>
        <v>2.6504348363341075</v>
      </c>
      <c r="E5" s="30"/>
      <c r="F5" s="4"/>
      <c r="G5" s="4">
        <f t="shared" ref="G5:G9" si="0"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37906.982199999999</v>
      </c>
      <c r="D6" s="4">
        <f t="shared" ref="D6:D53" si="1">(100*C6)/$C$54</f>
        <v>6.1182170105977693</v>
      </c>
      <c r="E6" s="30"/>
      <c r="F6" s="4"/>
      <c r="G6" s="4">
        <f t="shared" si="0"/>
        <v>0</v>
      </c>
      <c r="J6" s="32">
        <v>288785.90999999997</v>
      </c>
      <c r="K6" s="32">
        <f>(J6*100)/C54</f>
        <v>46.610275058586865</v>
      </c>
    </row>
    <row r="7" spans="1:11" x14ac:dyDescent="0.25">
      <c r="A7" s="2">
        <v>3</v>
      </c>
      <c r="B7" s="3" t="s">
        <v>10</v>
      </c>
      <c r="C7" s="4">
        <f>'2 - QA PGI'!C5</f>
        <v>17107.849699999999</v>
      </c>
      <c r="D7" s="4">
        <f t="shared" si="1"/>
        <v>2.7612205186117387</v>
      </c>
      <c r="E7" s="30"/>
      <c r="F7" s="4"/>
      <c r="G7" s="4">
        <f t="shared" si="0"/>
        <v>0</v>
      </c>
    </row>
    <row r="8" spans="1:11" x14ac:dyDescent="0.25">
      <c r="A8" s="2" t="s">
        <v>11</v>
      </c>
      <c r="B8" s="3" t="s">
        <v>12</v>
      </c>
      <c r="C8" s="4">
        <f>'2 - QA PGI'!C6</f>
        <v>17019.753400000001</v>
      </c>
      <c r="D8" s="4">
        <f t="shared" si="1"/>
        <v>2.7470017058772678</v>
      </c>
      <c r="E8" s="30"/>
      <c r="F8" s="4"/>
      <c r="G8" s="4">
        <f t="shared" si="0"/>
        <v>0</v>
      </c>
    </row>
    <row r="9" spans="1:11" x14ac:dyDescent="0.25">
      <c r="A9" s="2" t="s">
        <v>13</v>
      </c>
      <c r="B9" s="3" t="s">
        <v>14</v>
      </c>
      <c r="C9" s="4">
        <f>'2 - QA PGI'!C7</f>
        <v>88.096299999997427</v>
      </c>
      <c r="D9" s="4">
        <f t="shared" si="1"/>
        <v>1.4218812734470553E-2</v>
      </c>
      <c r="E9" s="30"/>
      <c r="F9" s="4"/>
      <c r="G9" s="4">
        <f t="shared" si="0"/>
        <v>0</v>
      </c>
    </row>
    <row r="10" spans="1:11" x14ac:dyDescent="0.25">
      <c r="A10" s="2" t="s">
        <v>15</v>
      </c>
      <c r="B10" s="3" t="s">
        <v>16</v>
      </c>
      <c r="C10" s="45" t="s">
        <v>85</v>
      </c>
      <c r="D10" s="46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158186.65109999999</v>
      </c>
      <c r="D11" s="4">
        <f t="shared" si="1"/>
        <v>25.531451026705955</v>
      </c>
      <c r="E11" s="30"/>
      <c r="F11" s="4">
        <f>C11/4</f>
        <v>39546.662774999997</v>
      </c>
      <c r="G11" s="4">
        <f>F11*40</f>
        <v>1581866.5109999999</v>
      </c>
    </row>
    <row r="12" spans="1:11" x14ac:dyDescent="0.25">
      <c r="A12" s="2" t="s">
        <v>18</v>
      </c>
      <c r="B12" s="3" t="s">
        <v>12</v>
      </c>
      <c r="C12" s="4">
        <f>'2 - QA PGI'!C9</f>
        <v>141354.85500000001</v>
      </c>
      <c r="D12" s="4">
        <f t="shared" si="1"/>
        <v>22.814785778214265</v>
      </c>
      <c r="E12" s="30"/>
      <c r="F12" s="4"/>
      <c r="G12" s="4">
        <f t="shared" ref="G12:G18" si="2"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16831.796099999978</v>
      </c>
      <c r="D13" s="4">
        <f t="shared" si="1"/>
        <v>2.7166652484916898</v>
      </c>
      <c r="E13" s="30"/>
      <c r="F13" s="4"/>
      <c r="G13" s="4">
        <f t="shared" si="2"/>
        <v>0</v>
      </c>
    </row>
    <row r="14" spans="1:11" x14ac:dyDescent="0.25">
      <c r="A14" s="2">
        <v>5</v>
      </c>
      <c r="B14" s="3" t="s">
        <v>20</v>
      </c>
      <c r="C14" s="4">
        <f>'2 - QA PGI'!C11</f>
        <v>18843.516599999999</v>
      </c>
      <c r="D14" s="4">
        <f t="shared" si="1"/>
        <v>3.0413585337215645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24667.5422</v>
      </c>
      <c r="D15" s="4">
        <f t="shared" si="1"/>
        <v>3.9813608875907391</v>
      </c>
      <c r="E15" s="30"/>
      <c r="F15" s="4">
        <f>C15/36</f>
        <v>685.20950555555555</v>
      </c>
      <c r="G15" s="4">
        <f>F15*96.11</f>
        <v>65855.485578944441</v>
      </c>
    </row>
    <row r="16" spans="1:11" x14ac:dyDescent="0.25">
      <c r="A16" s="2">
        <v>7</v>
      </c>
      <c r="B16" s="3" t="s">
        <v>22</v>
      </c>
      <c r="C16" s="4">
        <f>'2 - QA PGI'!C13</f>
        <v>5212.9314999999997</v>
      </c>
      <c r="D16" s="4">
        <f t="shared" si="1"/>
        <v>0.84137128115624427</v>
      </c>
      <c r="E16" s="30"/>
      <c r="F16" s="4">
        <f>C16/36</f>
        <v>144.80365277777776</v>
      </c>
      <c r="G16" s="4">
        <f>F16*96.11</f>
        <v>13917.07906847222</v>
      </c>
    </row>
    <row r="17" spans="1:7" x14ac:dyDescent="0.25">
      <c r="A17" s="2">
        <v>8</v>
      </c>
      <c r="B17" s="3" t="s">
        <v>23</v>
      </c>
      <c r="C17" s="4">
        <f>'2 - QA PGI'!C14</f>
        <v>166423.76109999995</v>
      </c>
      <c r="D17" s="4">
        <f t="shared" si="1"/>
        <v>26.860927117793064</v>
      </c>
      <c r="E17" s="30">
        <v>4</v>
      </c>
      <c r="F17" s="4"/>
      <c r="G17" s="4">
        <f t="shared" si="2"/>
        <v>665695.04439999978</v>
      </c>
    </row>
    <row r="18" spans="1:7" x14ac:dyDescent="0.25">
      <c r="A18" s="2">
        <v>9</v>
      </c>
      <c r="B18" s="3" t="s">
        <v>24</v>
      </c>
      <c r="C18" s="4">
        <f>'2 - QA PGI'!C15</f>
        <v>3378.982</v>
      </c>
      <c r="D18" s="4">
        <f t="shared" si="1"/>
        <v>0.5453703764079556</v>
      </c>
      <c r="E18" s="30"/>
      <c r="F18" s="4"/>
      <c r="G18" s="4">
        <f t="shared" si="2"/>
        <v>0</v>
      </c>
    </row>
    <row r="19" spans="1:7" x14ac:dyDescent="0.25">
      <c r="A19" s="2">
        <v>10</v>
      </c>
      <c r="B19" s="3" t="s">
        <v>25</v>
      </c>
      <c r="C19" s="4">
        <f>'2 - QA PGI'!C16</f>
        <v>16731.859499999999</v>
      </c>
      <c r="D19" s="4">
        <f t="shared" si="1"/>
        <v>2.7005354019405927</v>
      </c>
      <c r="E19" s="30">
        <v>69.790000000000006</v>
      </c>
      <c r="F19" s="4"/>
      <c r="G19" s="4">
        <f>E19*C19</f>
        <v>1167716.474505</v>
      </c>
    </row>
    <row r="20" spans="1:7" x14ac:dyDescent="0.25">
      <c r="A20" s="2">
        <v>11</v>
      </c>
      <c r="B20" s="3" t="s">
        <v>26</v>
      </c>
      <c r="C20" s="4">
        <f>'2 - QA PGI'!C17</f>
        <v>1708.0336</v>
      </c>
      <c r="D20" s="4">
        <f t="shared" si="1"/>
        <v>0.27567797855964765</v>
      </c>
      <c r="E20" s="30"/>
      <c r="F20" s="4"/>
      <c r="G20" s="4">
        <f t="shared" ref="G20:G21" si="3">E20*C20</f>
        <v>0</v>
      </c>
    </row>
    <row r="21" spans="1:7" x14ac:dyDescent="0.25">
      <c r="A21" s="2">
        <v>12</v>
      </c>
      <c r="B21" s="3" t="s">
        <v>27</v>
      </c>
      <c r="C21" s="4">
        <f>'2 - QA PGI'!C18</f>
        <v>3019.2413999999999</v>
      </c>
      <c r="D21" s="4">
        <f t="shared" si="1"/>
        <v>0.48730795807272215</v>
      </c>
      <c r="E21" s="30">
        <v>162.13</v>
      </c>
      <c r="F21" s="4"/>
      <c r="G21" s="4">
        <f t="shared" si="3"/>
        <v>489509.608182</v>
      </c>
    </row>
    <row r="22" spans="1:7" x14ac:dyDescent="0.25">
      <c r="A22" s="15">
        <v>13</v>
      </c>
      <c r="B22" s="5" t="s">
        <v>28</v>
      </c>
      <c r="C22" s="45"/>
      <c r="D22" s="46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2941.2184999999999</v>
      </c>
      <c r="D23" s="4">
        <f t="shared" si="1"/>
        <v>0.474715000092644</v>
      </c>
      <c r="E23" s="30">
        <v>83.14</v>
      </c>
      <c r="F23" s="4"/>
      <c r="G23" s="4">
        <f t="shared" ref="G23:G35" si="4">E23*C23</f>
        <v>244532.90609</v>
      </c>
    </row>
    <row r="24" spans="1:7" x14ac:dyDescent="0.25">
      <c r="A24" s="14" t="s">
        <v>31</v>
      </c>
      <c r="B24" s="3" t="s">
        <v>32</v>
      </c>
      <c r="C24" s="4">
        <f>'2 - QA PGI'!C21</f>
        <v>81433.554499999998</v>
      </c>
      <c r="D24" s="4">
        <f t="shared" si="1"/>
        <v>13.143440323121807</v>
      </c>
      <c r="E24" s="30">
        <v>121.19</v>
      </c>
      <c r="F24" s="4"/>
      <c r="G24" s="4">
        <f t="shared" si="4"/>
        <v>9868932.4698549993</v>
      </c>
    </row>
    <row r="25" spans="1:7" x14ac:dyDescent="0.25">
      <c r="A25" s="14" t="s">
        <v>33</v>
      </c>
      <c r="B25" s="3" t="s">
        <v>34</v>
      </c>
      <c r="C25" s="4">
        <f>'2 - QA PGI'!C22</f>
        <v>2786.3838000000001</v>
      </c>
      <c r="D25" s="4">
        <f t="shared" si="1"/>
        <v>0.44972455663363392</v>
      </c>
      <c r="E25" s="30">
        <v>202.54</v>
      </c>
      <c r="F25" s="4"/>
      <c r="G25" s="4">
        <f t="shared" si="4"/>
        <v>564354.17485199997</v>
      </c>
    </row>
    <row r="26" spans="1:7" x14ac:dyDescent="0.25">
      <c r="A26" s="14" t="s">
        <v>35</v>
      </c>
      <c r="B26" s="3" t="s">
        <v>36</v>
      </c>
      <c r="C26" s="4">
        <f>'2 - QA PGI'!C23</f>
        <v>10991.1824</v>
      </c>
      <c r="D26" s="4">
        <f t="shared" si="1"/>
        <v>1.7739855621179683</v>
      </c>
      <c r="E26" s="30">
        <v>1433.26</v>
      </c>
      <c r="F26" s="4"/>
      <c r="G26" s="4">
        <f t="shared" si="4"/>
        <v>15753222.086624</v>
      </c>
    </row>
    <row r="27" spans="1:7" x14ac:dyDescent="0.25">
      <c r="A27" s="14" t="s">
        <v>37</v>
      </c>
      <c r="B27" s="3" t="s">
        <v>38</v>
      </c>
      <c r="C27" s="4">
        <f>'2 - QA PGI'!C24</f>
        <v>3645.904</v>
      </c>
      <c r="D27" s="4">
        <f t="shared" si="1"/>
        <v>0.58845179904103395</v>
      </c>
      <c r="E27" s="30">
        <v>183.86</v>
      </c>
      <c r="F27" s="4"/>
      <c r="G27" s="4">
        <f t="shared" si="4"/>
        <v>670335.90944000008</v>
      </c>
    </row>
    <row r="28" spans="1:7" x14ac:dyDescent="0.25">
      <c r="A28" s="14" t="s">
        <v>39</v>
      </c>
      <c r="B28" s="3" t="s">
        <v>40</v>
      </c>
      <c r="C28" s="4">
        <f>'2 - QA PGI'!C25</f>
        <v>600</v>
      </c>
      <c r="D28" s="4">
        <f t="shared" si="1"/>
        <v>9.6840476168494935E-2</v>
      </c>
      <c r="E28" s="30">
        <v>744.43</v>
      </c>
      <c r="F28" s="4"/>
      <c r="G28" s="4">
        <f t="shared" si="4"/>
        <v>446657.99999999994</v>
      </c>
    </row>
    <row r="29" spans="1:7" x14ac:dyDescent="0.25">
      <c r="A29" s="14" t="s">
        <v>41</v>
      </c>
      <c r="B29" s="3" t="s">
        <v>42</v>
      </c>
      <c r="C29" s="4">
        <f>'2 - QA PGI'!C26</f>
        <v>22045.096000000001</v>
      </c>
      <c r="D29" s="4">
        <f t="shared" si="1"/>
        <v>3.5580959897003051</v>
      </c>
      <c r="E29" s="30">
        <v>146.11000000000001</v>
      </c>
      <c r="F29" s="4"/>
      <c r="G29" s="4">
        <f t="shared" si="4"/>
        <v>3221008.9765600003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1"/>
        <v>0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1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1008</v>
      </c>
      <c r="D32" s="4">
        <f t="shared" si="1"/>
        <v>0.16269199996307149</v>
      </c>
      <c r="E32" s="30">
        <v>263.77999999999997</v>
      </c>
      <c r="F32" s="4"/>
      <c r="G32" s="4">
        <f t="shared" si="4"/>
        <v>265890.24</v>
      </c>
    </row>
    <row r="33" spans="1:7" x14ac:dyDescent="0.25">
      <c r="A33" s="14" t="s">
        <v>49</v>
      </c>
      <c r="B33" s="3" t="s">
        <v>50</v>
      </c>
      <c r="C33" s="4">
        <f>'2 - QA PGI'!C30</f>
        <v>2299.4872999999998</v>
      </c>
      <c r="D33" s="4">
        <f t="shared" si="1"/>
        <v>0.3711390751256779</v>
      </c>
      <c r="E33" s="30">
        <v>147.88</v>
      </c>
      <c r="F33" s="4"/>
      <c r="G33" s="4">
        <f t="shared" si="4"/>
        <v>340048.18192399997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1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MD'!C23</f>
        <v>9589.5298000000003</v>
      </c>
      <c r="D35" s="4">
        <f t="shared" si="1"/>
        <v>1.5477577201066199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45" t="s">
        <v>96</v>
      </c>
      <c r="D36" s="46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1029.6348</v>
      </c>
      <c r="D37" s="4">
        <f t="shared" si="1"/>
        <v>0.1661838738527551</v>
      </c>
      <c r="E37" s="30"/>
      <c r="F37" s="4"/>
      <c r="G37" s="4">
        <f t="shared" ref="G37:G48" si="5"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1"/>
        <v>0</v>
      </c>
      <c r="E38" s="30"/>
      <c r="F38" s="4"/>
      <c r="G38" s="4">
        <f t="shared" si="5"/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1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1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1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1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1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1"/>
        <v>0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18148.467700000001</v>
      </c>
      <c r="D45" s="4">
        <f t="shared" si="1"/>
        <v>2.9291770896609171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3037.9115000000002</v>
      </c>
      <c r="D46" s="4">
        <f t="shared" si="1"/>
        <v>0.49032132702957787</v>
      </c>
      <c r="E46" s="4">
        <v>164.74</v>
      </c>
      <c r="F46" s="4"/>
      <c r="G46" s="4">
        <f t="shared" si="5"/>
        <v>500465.54051000008</v>
      </c>
    </row>
    <row r="47" spans="1:7" x14ac:dyDescent="0.25">
      <c r="A47" s="14">
        <v>24</v>
      </c>
      <c r="B47" s="16" t="s">
        <v>65</v>
      </c>
      <c r="C47" s="4">
        <f>'2 - QA PGI'!C43</f>
        <v>0</v>
      </c>
      <c r="D47" s="4">
        <f t="shared" si="1"/>
        <v>0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1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80</v>
      </c>
      <c r="C49" s="4">
        <f>'2 - QA PGI'!C45</f>
        <v>0</v>
      </c>
      <c r="D49" s="4">
        <f t="shared" si="1"/>
        <v>0</v>
      </c>
      <c r="E49" s="4"/>
      <c r="F49" s="4"/>
      <c r="G49" s="4"/>
    </row>
    <row r="50" spans="1:7" x14ac:dyDescent="0.25">
      <c r="A50" s="14">
        <v>27</v>
      </c>
      <c r="B50" s="16" t="s">
        <v>81</v>
      </c>
      <c r="C50" s="4">
        <f>'3 - QA MD'!C30</f>
        <v>1459.5157999999999</v>
      </c>
      <c r="D50" s="4">
        <f t="shared" si="1"/>
        <v>0.23556700841240302</v>
      </c>
      <c r="E50" s="4"/>
      <c r="F50" s="4"/>
      <c r="G50" s="4"/>
    </row>
    <row r="51" spans="1:7" x14ac:dyDescent="0.25">
      <c r="A51" s="14">
        <v>28</v>
      </c>
      <c r="B51" s="16" t="s">
        <v>82</v>
      </c>
      <c r="C51" s="4">
        <f>'3 - QA MD'!C31</f>
        <v>0</v>
      </c>
      <c r="D51" s="4">
        <f t="shared" si="1"/>
        <v>0</v>
      </c>
      <c r="E51" s="4"/>
      <c r="F51" s="4"/>
      <c r="G51" s="4"/>
    </row>
    <row r="52" spans="1:7" x14ac:dyDescent="0.25">
      <c r="A52" s="14">
        <v>29</v>
      </c>
      <c r="B52" s="16" t="s">
        <v>83</v>
      </c>
      <c r="C52" s="4">
        <f>'2 - QA PGI'!C46</f>
        <v>0</v>
      </c>
      <c r="D52" s="4">
        <f t="shared" si="1"/>
        <v>0</v>
      </c>
      <c r="E52" s="4"/>
      <c r="F52" s="4"/>
      <c r="G52" s="4"/>
    </row>
    <row r="53" spans="1:7" x14ac:dyDescent="0.25">
      <c r="A53" s="14">
        <v>30</v>
      </c>
      <c r="B53" s="16" t="s">
        <v>97</v>
      </c>
      <c r="C53" s="4">
        <f>'2 - QA PGI'!C47</f>
        <v>0</v>
      </c>
      <c r="D53" s="4">
        <f t="shared" si="1"/>
        <v>0</v>
      </c>
      <c r="E53" s="4"/>
      <c r="F53" s="4"/>
      <c r="G53" s="4"/>
    </row>
    <row r="54" spans="1:7" ht="15.75" x14ac:dyDescent="0.25">
      <c r="A54" s="6"/>
      <c r="B54" s="7" t="s">
        <v>67</v>
      </c>
      <c r="C54" s="8">
        <f>'3 - QA MD'!C34</f>
        <v>619575.64</v>
      </c>
      <c r="D54" s="8">
        <v>100</v>
      </c>
      <c r="E54" s="8"/>
      <c r="F54" s="8"/>
      <c r="G54" s="10">
        <f>SUM(G5:G53)</f>
        <v>35860008.688589416</v>
      </c>
    </row>
    <row r="56" spans="1:7" x14ac:dyDescent="0.25">
      <c r="G56" s="43"/>
    </row>
    <row r="57" spans="1:7" x14ac:dyDescent="0.25">
      <c r="B57" s="33" t="s">
        <v>70</v>
      </c>
    </row>
    <row r="58" spans="1:7" x14ac:dyDescent="0.25">
      <c r="B58" s="34" t="s">
        <v>75</v>
      </c>
    </row>
    <row r="59" spans="1:7" x14ac:dyDescent="0.25">
      <c r="B59" s="34" t="s">
        <v>76</v>
      </c>
    </row>
    <row r="60" spans="1:7" x14ac:dyDescent="0.25">
      <c r="B60" s="34" t="s">
        <v>77</v>
      </c>
    </row>
    <row r="61" spans="1:7" x14ac:dyDescent="0.25">
      <c r="B61" s="34" t="s">
        <v>78</v>
      </c>
    </row>
    <row r="62" spans="1:7" x14ac:dyDescent="0.25">
      <c r="B62" s="34" t="s">
        <v>74</v>
      </c>
    </row>
    <row r="63" spans="1:7" x14ac:dyDescent="0.25">
      <c r="B63" s="34" t="s">
        <v>73</v>
      </c>
    </row>
    <row r="64" spans="1:7" x14ac:dyDescent="0.25">
      <c r="B64" s="34" t="s">
        <v>71</v>
      </c>
    </row>
    <row r="65" spans="2:2" x14ac:dyDescent="0.25">
      <c r="B65" s="34" t="s">
        <v>72</v>
      </c>
    </row>
    <row r="66" spans="2:2" x14ac:dyDescent="0.25">
      <c r="B66" s="35" t="s">
        <v>79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H29" sqref="H29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</cols>
  <sheetData>
    <row r="1" spans="1:6" ht="38.25" customHeight="1" x14ac:dyDescent="0.25">
      <c r="A1" s="50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PIUM</v>
      </c>
      <c r="B1" s="51"/>
      <c r="C1" s="51"/>
      <c r="D1" s="51"/>
    </row>
    <row r="2" spans="1:6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6" x14ac:dyDescent="0.25">
      <c r="A3" s="19">
        <v>1</v>
      </c>
      <c r="B3" s="20" t="s">
        <v>8</v>
      </c>
      <c r="C3" s="21">
        <f>3*(5.0488+235.0568+174.0875+324.2766+325.7271+219.1736+208.4281+307.0462+205.9788+102.6126+312.2421+205.439+237.731+151.5032+175.0936+143.709+153.3036)+2*(272.3941+23.9373+171.7241+246.4233+361.9579+67.908+219.1904+195.8993+150.5998+59.8775+308.0422+225.0408+23.6518+195.8051+65.9013+122.73+7.8096)+22.2676+119.176+325.8595+56.9877</f>
        <v>16421.4486</v>
      </c>
      <c r="D3" s="21">
        <f>(100*C3)/$C$48</f>
        <v>2.6504348363341075</v>
      </c>
    </row>
    <row r="4" spans="1:6" x14ac:dyDescent="0.25">
      <c r="A4" s="19">
        <v>2</v>
      </c>
      <c r="B4" s="20" t="s">
        <v>9</v>
      </c>
      <c r="C4" s="21">
        <f>54328.4308-C3</f>
        <v>37906.982199999999</v>
      </c>
      <c r="D4" s="21">
        <f t="shared" ref="D4:D17" si="0">(100*C4)/$C$48</f>
        <v>6.1182170105977693</v>
      </c>
    </row>
    <row r="5" spans="1:6" x14ac:dyDescent="0.25">
      <c r="A5" s="19">
        <v>3</v>
      </c>
      <c r="B5" s="20" t="s">
        <v>10</v>
      </c>
      <c r="C5" s="21">
        <v>17107.849699999999</v>
      </c>
      <c r="D5" s="21">
        <f t="shared" si="0"/>
        <v>2.7612205186117387</v>
      </c>
    </row>
    <row r="6" spans="1:6" x14ac:dyDescent="0.25">
      <c r="A6" s="19" t="s">
        <v>11</v>
      </c>
      <c r="B6" s="20" t="s">
        <v>12</v>
      </c>
      <c r="C6" s="21">
        <v>17019.753400000001</v>
      </c>
      <c r="D6" s="21">
        <f t="shared" si="0"/>
        <v>2.7470017058772678</v>
      </c>
    </row>
    <row r="7" spans="1:6" x14ac:dyDescent="0.25">
      <c r="A7" s="19" t="s">
        <v>13</v>
      </c>
      <c r="B7" s="20" t="s">
        <v>14</v>
      </c>
      <c r="C7" s="21">
        <f>C5-C6</f>
        <v>88.096299999997427</v>
      </c>
      <c r="D7" s="21">
        <f t="shared" si="0"/>
        <v>1.4218812734470553E-2</v>
      </c>
    </row>
    <row r="8" spans="1:6" x14ac:dyDescent="0.25">
      <c r="A8" s="19">
        <v>4</v>
      </c>
      <c r="B8" s="20" t="s">
        <v>17</v>
      </c>
      <c r="C8" s="21">
        <v>158186.65109999999</v>
      </c>
      <c r="D8" s="21">
        <f t="shared" si="0"/>
        <v>25.531451026705955</v>
      </c>
    </row>
    <row r="9" spans="1:6" x14ac:dyDescent="0.25">
      <c r="A9" s="19" t="s">
        <v>18</v>
      </c>
      <c r="B9" s="20" t="s">
        <v>12</v>
      </c>
      <c r="C9" s="21">
        <v>141354.85500000001</v>
      </c>
      <c r="D9" s="21">
        <f t="shared" si="0"/>
        <v>22.814785778214265</v>
      </c>
    </row>
    <row r="10" spans="1:6" x14ac:dyDescent="0.25">
      <c r="A10" s="19" t="s">
        <v>19</v>
      </c>
      <c r="B10" s="20" t="s">
        <v>14</v>
      </c>
      <c r="C10" s="21">
        <f>C8-C9</f>
        <v>16831.796099999978</v>
      </c>
      <c r="D10" s="21">
        <f t="shared" si="0"/>
        <v>2.7166652484916898</v>
      </c>
    </row>
    <row r="11" spans="1:6" x14ac:dyDescent="0.25">
      <c r="A11" s="19">
        <v>5</v>
      </c>
      <c r="B11" s="20" t="s">
        <v>20</v>
      </c>
      <c r="C11" s="21">
        <v>18843.516599999999</v>
      </c>
      <c r="D11" s="21">
        <f t="shared" si="0"/>
        <v>3.0413585337215645</v>
      </c>
      <c r="F11" s="41"/>
    </row>
    <row r="12" spans="1:6" x14ac:dyDescent="0.25">
      <c r="A12" s="19">
        <v>6</v>
      </c>
      <c r="B12" s="20" t="s">
        <v>21</v>
      </c>
      <c r="C12" s="21">
        <v>24667.5422</v>
      </c>
      <c r="D12" s="21">
        <f t="shared" si="0"/>
        <v>3.9813608875907391</v>
      </c>
    </row>
    <row r="13" spans="1:6" x14ac:dyDescent="0.25">
      <c r="A13" s="19">
        <v>7</v>
      </c>
      <c r="B13" s="20" t="s">
        <v>22</v>
      </c>
      <c r="C13" s="21">
        <v>5212.9314999999997</v>
      </c>
      <c r="D13" s="21">
        <f t="shared" si="0"/>
        <v>0.84137128115624427</v>
      </c>
    </row>
    <row r="14" spans="1:6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166423.76109999995</v>
      </c>
      <c r="D14" s="21">
        <f t="shared" si="0"/>
        <v>26.860927117793064</v>
      </c>
    </row>
    <row r="15" spans="1:6" x14ac:dyDescent="0.25">
      <c r="A15" s="19">
        <v>9</v>
      </c>
      <c r="B15" s="20" t="s">
        <v>24</v>
      </c>
      <c r="C15" s="21">
        <v>3378.982</v>
      </c>
      <c r="D15" s="21">
        <f t="shared" si="0"/>
        <v>0.5453703764079556</v>
      </c>
    </row>
    <row r="16" spans="1:6" x14ac:dyDescent="0.25">
      <c r="A16" s="19">
        <v>10</v>
      </c>
      <c r="B16" s="20" t="s">
        <v>25</v>
      </c>
      <c r="C16" s="21">
        <v>16731.859499999999</v>
      </c>
      <c r="D16" s="21">
        <f t="shared" si="0"/>
        <v>2.7005354019405927</v>
      </c>
    </row>
    <row r="17" spans="1:4" x14ac:dyDescent="0.25">
      <c r="A17" s="19">
        <v>11</v>
      </c>
      <c r="B17" s="20" t="s">
        <v>26</v>
      </c>
      <c r="C17" s="21">
        <v>1708.0336</v>
      </c>
      <c r="D17" s="21">
        <f t="shared" si="0"/>
        <v>0.27567797855964765</v>
      </c>
    </row>
    <row r="18" spans="1:4" x14ac:dyDescent="0.25">
      <c r="A18" s="19">
        <v>12</v>
      </c>
      <c r="B18" s="20" t="s">
        <v>27</v>
      </c>
      <c r="C18" s="21">
        <f>586.04+2433.2014</f>
        <v>3019.2413999999999</v>
      </c>
      <c r="D18" s="21">
        <f>(100*C18)/$C$48</f>
        <v>0.48730795807272215</v>
      </c>
    </row>
    <row r="19" spans="1:4" x14ac:dyDescent="0.25">
      <c r="A19" s="22">
        <v>13</v>
      </c>
      <c r="B19" s="23" t="s">
        <v>28</v>
      </c>
      <c r="C19" s="48"/>
      <c r="D19" s="49"/>
    </row>
    <row r="20" spans="1:4" x14ac:dyDescent="0.25">
      <c r="A20" s="24" t="s">
        <v>29</v>
      </c>
      <c r="B20" s="20" t="s">
        <v>30</v>
      </c>
      <c r="C20" s="21">
        <f>2.5*(131.9424+76.2038+91.3761+78.1467+74.4265+87.6554+390.8671+160.7072+85.1622)</f>
        <v>2941.2184999999999</v>
      </c>
      <c r="D20" s="21">
        <f>(100*C20)/$C$48</f>
        <v>0.474715000092644</v>
      </c>
    </row>
    <row r="21" spans="1:4" x14ac:dyDescent="0.25">
      <c r="A21" s="24" t="s">
        <v>31</v>
      </c>
      <c r="B21" s="20" t="s">
        <v>32</v>
      </c>
      <c r="C21" s="21">
        <f>47291.3413+34142.2132</f>
        <v>81433.554499999998</v>
      </c>
      <c r="D21" s="21">
        <f t="shared" ref="D21:D47" si="1">(100*C21)/$C$48</f>
        <v>13.143440323121807</v>
      </c>
    </row>
    <row r="22" spans="1:4" x14ac:dyDescent="0.25">
      <c r="A22" s="24" t="s">
        <v>33</v>
      </c>
      <c r="B22" s="20" t="s">
        <v>34</v>
      </c>
      <c r="C22" s="21">
        <f>1868.3838+918</f>
        <v>2786.3838000000001</v>
      </c>
      <c r="D22" s="21">
        <f t="shared" si="1"/>
        <v>0.44972455663363392</v>
      </c>
    </row>
    <row r="23" spans="1:4" x14ac:dyDescent="0.25">
      <c r="A23" s="24" t="s">
        <v>35</v>
      </c>
      <c r="B23" s="20" t="s">
        <v>36</v>
      </c>
      <c r="C23" s="21">
        <v>10991.1824</v>
      </c>
      <c r="D23" s="21">
        <f t="shared" si="1"/>
        <v>1.7739855621179683</v>
      </c>
    </row>
    <row r="24" spans="1:4" x14ac:dyDescent="0.25">
      <c r="A24" s="24" t="s">
        <v>37</v>
      </c>
      <c r="B24" s="20" t="s">
        <v>38</v>
      </c>
      <c r="C24" s="21">
        <v>3645.904</v>
      </c>
      <c r="D24" s="21">
        <f t="shared" si="1"/>
        <v>0.58845179904103395</v>
      </c>
    </row>
    <row r="25" spans="1:4" x14ac:dyDescent="0.25">
      <c r="A25" s="24" t="s">
        <v>39</v>
      </c>
      <c r="B25" s="20" t="s">
        <v>40</v>
      </c>
      <c r="C25" s="21">
        <v>600</v>
      </c>
      <c r="D25" s="21">
        <f t="shared" si="1"/>
        <v>9.6840476168494935E-2</v>
      </c>
    </row>
    <row r="26" spans="1:4" x14ac:dyDescent="0.25">
      <c r="A26" s="24" t="s">
        <v>41</v>
      </c>
      <c r="B26" s="20" t="s">
        <v>42</v>
      </c>
      <c r="C26" s="21">
        <v>22045.096000000001</v>
      </c>
      <c r="D26" s="21">
        <f t="shared" si="1"/>
        <v>3.5580959897003051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1"/>
        <v>0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1"/>
        <v>0</v>
      </c>
    </row>
    <row r="29" spans="1:4" x14ac:dyDescent="0.25">
      <c r="A29" s="25" t="s">
        <v>47</v>
      </c>
      <c r="B29" s="20" t="s">
        <v>48</v>
      </c>
      <c r="C29" s="21">
        <f>14*72</f>
        <v>1008</v>
      </c>
      <c r="D29" s="21">
        <f t="shared" si="1"/>
        <v>0.16269199996307149</v>
      </c>
    </row>
    <row r="30" spans="1:4" x14ac:dyDescent="0.25">
      <c r="A30" s="24" t="s">
        <v>49</v>
      </c>
      <c r="B30" s="20" t="s">
        <v>50</v>
      </c>
      <c r="C30" s="21">
        <v>2299.4872999999998</v>
      </c>
      <c r="D30" s="21">
        <f t="shared" si="1"/>
        <v>0.3711390751256779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1"/>
        <v>0</v>
      </c>
    </row>
    <row r="32" spans="1:4" x14ac:dyDescent="0.25">
      <c r="A32" s="24">
        <v>14</v>
      </c>
      <c r="B32" s="20" t="s">
        <v>54</v>
      </c>
      <c r="C32" s="48" t="str">
        <f>'1 - QA Completo'!C36:D36</f>
        <v>PRESENTE</v>
      </c>
      <c r="D32" s="49"/>
    </row>
    <row r="33" spans="1:4" x14ac:dyDescent="0.25">
      <c r="A33" s="24">
        <v>15</v>
      </c>
      <c r="B33" s="26" t="s">
        <v>55</v>
      </c>
      <c r="C33" s="21">
        <v>1029.6348</v>
      </c>
      <c r="D33" s="21">
        <f t="shared" si="1"/>
        <v>0.1661838738527551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1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1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1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1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1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1"/>
        <v>0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1"/>
        <v>0</v>
      </c>
    </row>
    <row r="41" spans="1:4" x14ac:dyDescent="0.25">
      <c r="A41" s="24">
        <v>23</v>
      </c>
      <c r="B41" s="26" t="s">
        <v>63</v>
      </c>
      <c r="C41" s="21">
        <v>18148.467700000001</v>
      </c>
      <c r="D41" s="21">
        <f t="shared" si="1"/>
        <v>2.9291770896609171</v>
      </c>
    </row>
    <row r="42" spans="1:4" x14ac:dyDescent="0.25">
      <c r="A42" s="24">
        <v>24</v>
      </c>
      <c r="B42" s="26" t="s">
        <v>64</v>
      </c>
      <c r="C42" s="21">
        <v>3037.9115000000002</v>
      </c>
      <c r="D42" s="21">
        <f t="shared" si="1"/>
        <v>0.49032132702957787</v>
      </c>
    </row>
    <row r="43" spans="1:4" x14ac:dyDescent="0.25">
      <c r="A43" s="24">
        <v>25</v>
      </c>
      <c r="B43" s="26" t="s">
        <v>65</v>
      </c>
      <c r="C43" s="21">
        <v>0</v>
      </c>
      <c r="D43" s="21">
        <f t="shared" si="1"/>
        <v>0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1"/>
        <v>0</v>
      </c>
    </row>
    <row r="45" spans="1:4" x14ac:dyDescent="0.25">
      <c r="A45" s="24">
        <v>27</v>
      </c>
      <c r="B45" s="26" t="s">
        <v>84</v>
      </c>
      <c r="C45" s="21">
        <v>0</v>
      </c>
      <c r="D45" s="21">
        <f t="shared" si="1"/>
        <v>0</v>
      </c>
    </row>
    <row r="46" spans="1:4" x14ac:dyDescent="0.25">
      <c r="A46" s="24">
        <v>28</v>
      </c>
      <c r="B46" s="26" t="s">
        <v>83</v>
      </c>
      <c r="C46" s="21">
        <v>0</v>
      </c>
      <c r="D46" s="21">
        <f t="shared" si="1"/>
        <v>0</v>
      </c>
    </row>
    <row r="47" spans="1:4" x14ac:dyDescent="0.25">
      <c r="A47" s="24">
        <v>29</v>
      </c>
      <c r="B47" s="26" t="s">
        <v>97</v>
      </c>
      <c r="C47" s="21">
        <v>0</v>
      </c>
      <c r="D47" s="21">
        <f t="shared" si="1"/>
        <v>0</v>
      </c>
    </row>
    <row r="48" spans="1:4" x14ac:dyDescent="0.25">
      <c r="A48" s="27"/>
      <c r="B48" s="28" t="s">
        <v>67</v>
      </c>
      <c r="C48" s="29">
        <f>'3 - QA MD'!C34</f>
        <v>619575.64</v>
      </c>
      <c r="D48" s="29">
        <v>100</v>
      </c>
    </row>
    <row r="51" spans="2:2" ht="30" x14ac:dyDescent="0.25">
      <c r="B51" s="42" t="s">
        <v>99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selection activeCell="H13" sqref="H13"/>
    </sheetView>
  </sheetViews>
  <sheetFormatPr defaultRowHeight="15" x14ac:dyDescent="0.25"/>
  <cols>
    <col min="2" max="2" width="72.5703125" bestFit="1" customWidth="1"/>
    <col min="3" max="3" width="13.140625" customWidth="1"/>
    <col min="4" max="4" width="12.5703125" customWidth="1"/>
  </cols>
  <sheetData>
    <row r="1" spans="1:4" ht="15" customHeight="1" x14ac:dyDescent="0.25">
      <c r="A1" s="52"/>
      <c r="B1" s="58" t="s">
        <v>100</v>
      </c>
      <c r="C1" s="53"/>
      <c r="D1" s="54"/>
    </row>
    <row r="2" spans="1:4" x14ac:dyDescent="0.25">
      <c r="A2" s="55"/>
      <c r="B2" s="59" t="s">
        <v>101</v>
      </c>
      <c r="C2" s="56"/>
      <c r="D2" s="57"/>
    </row>
    <row r="3" spans="1:4" x14ac:dyDescent="0.25">
      <c r="A3" s="36"/>
      <c r="B3" s="36"/>
      <c r="C3" s="36"/>
      <c r="D3" s="36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3" t="s">
        <v>8</v>
      </c>
      <c r="C5" s="4">
        <f>(3*3843.4858)+(2*2935.6632)+(533.9592)</f>
        <v>17935.742999999999</v>
      </c>
      <c r="D5" s="4">
        <f>(C5*100)/$C$34</f>
        <v>2.8948431542595827</v>
      </c>
    </row>
    <row r="6" spans="1:4" x14ac:dyDescent="0.25">
      <c r="A6" s="2">
        <v>2</v>
      </c>
      <c r="B6" s="3" t="s">
        <v>9</v>
      </c>
      <c r="C6" s="4">
        <f>58965.089-C5</f>
        <v>41029.346000000005</v>
      </c>
      <c r="D6" s="4">
        <f t="shared" ref="D6:D34" si="0">(C6*100)/$C$34</f>
        <v>6.622169005869889</v>
      </c>
    </row>
    <row r="7" spans="1:4" x14ac:dyDescent="0.25">
      <c r="A7" s="2">
        <v>3</v>
      </c>
      <c r="B7" s="3" t="s">
        <v>10</v>
      </c>
      <c r="C7" s="4">
        <v>21343.1433</v>
      </c>
      <c r="D7" s="4">
        <f t="shared" si="0"/>
        <v>3.4448002668407041</v>
      </c>
    </row>
    <row r="8" spans="1:4" x14ac:dyDescent="0.25">
      <c r="A8" s="2" t="s">
        <v>11</v>
      </c>
      <c r="B8" s="3" t="s">
        <v>12</v>
      </c>
      <c r="C8" s="4">
        <v>21255.046999999999</v>
      </c>
      <c r="D8" s="4">
        <f t="shared" si="0"/>
        <v>3.4305814541062327</v>
      </c>
    </row>
    <row r="9" spans="1:4" x14ac:dyDescent="0.25">
      <c r="A9" s="2" t="s">
        <v>13</v>
      </c>
      <c r="B9" s="3" t="s">
        <v>14</v>
      </c>
      <c r="C9" s="4">
        <f>C7-C8</f>
        <v>88.096300000001065</v>
      </c>
      <c r="D9" s="4">
        <f t="shared" si="0"/>
        <v>1.4218812734471139E-2</v>
      </c>
    </row>
    <row r="10" spans="1:4" x14ac:dyDescent="0.25">
      <c r="A10" s="2" t="s">
        <v>15</v>
      </c>
      <c r="B10" s="3" t="s">
        <v>16</v>
      </c>
      <c r="C10" s="45" t="s">
        <v>85</v>
      </c>
      <c r="D10" s="46"/>
    </row>
    <row r="11" spans="1:4" x14ac:dyDescent="0.25">
      <c r="A11" s="2">
        <v>4</v>
      </c>
      <c r="B11" s="3" t="s">
        <v>20</v>
      </c>
      <c r="C11" s="4">
        <v>18123.069899999999</v>
      </c>
      <c r="D11" s="4">
        <f t="shared" si="0"/>
        <v>2.9250778645848627</v>
      </c>
    </row>
    <row r="12" spans="1:4" x14ac:dyDescent="0.25">
      <c r="A12" s="2">
        <v>5</v>
      </c>
      <c r="B12" s="3" t="s">
        <v>86</v>
      </c>
      <c r="C12" s="4">
        <f>C34-(C5+C6+C7+C11+C13+C14+C15+C17+C18+C19+C20+C21+C22+C23+C24+C25+C26+C27+C28+C29+C30+C31)</f>
        <v>469403.46630000003</v>
      </c>
      <c r="D12" s="4">
        <f t="shared" si="0"/>
        <v>75.762091986056788</v>
      </c>
    </row>
    <row r="13" spans="1:4" x14ac:dyDescent="0.25">
      <c r="A13" s="2">
        <v>6</v>
      </c>
      <c r="B13" s="3" t="s">
        <v>24</v>
      </c>
      <c r="C13" s="4">
        <v>0</v>
      </c>
      <c r="D13" s="4">
        <f t="shared" si="0"/>
        <v>0</v>
      </c>
    </row>
    <row r="14" spans="1:4" x14ac:dyDescent="0.25">
      <c r="A14" s="2">
        <v>7</v>
      </c>
      <c r="B14" s="3" t="s">
        <v>25</v>
      </c>
      <c r="C14" s="4">
        <v>16756.361799999999</v>
      </c>
      <c r="D14" s="4">
        <f t="shared" si="0"/>
        <v>2.704490092605965</v>
      </c>
    </row>
    <row r="15" spans="1:4" x14ac:dyDescent="0.25">
      <c r="A15" s="2">
        <v>8</v>
      </c>
      <c r="B15" s="3" t="s">
        <v>27</v>
      </c>
      <c r="C15" s="4">
        <v>144.87430000000001</v>
      </c>
      <c r="D15" s="4">
        <f t="shared" si="0"/>
        <v>2.3382826994295645E-2</v>
      </c>
    </row>
    <row r="16" spans="1:4" x14ac:dyDescent="0.25">
      <c r="A16" s="15">
        <v>9</v>
      </c>
      <c r="B16" s="5" t="s">
        <v>28</v>
      </c>
      <c r="C16" s="45"/>
      <c r="D16" s="46"/>
    </row>
    <row r="17" spans="1:4" x14ac:dyDescent="0.25">
      <c r="A17" s="14" t="s">
        <v>87</v>
      </c>
      <c r="B17" s="3" t="s">
        <v>34</v>
      </c>
      <c r="C17" s="4">
        <v>221.1482</v>
      </c>
      <c r="D17" s="4">
        <f t="shared" si="0"/>
        <v>3.5693494986342583E-2</v>
      </c>
    </row>
    <row r="18" spans="1:4" x14ac:dyDescent="0.25">
      <c r="A18" s="14" t="s">
        <v>88</v>
      </c>
      <c r="B18" s="3" t="s">
        <v>36</v>
      </c>
      <c r="C18" s="4">
        <v>0</v>
      </c>
      <c r="D18" s="4">
        <f t="shared" si="0"/>
        <v>0</v>
      </c>
    </row>
    <row r="19" spans="1:4" x14ac:dyDescent="0.25">
      <c r="A19" s="14" t="s">
        <v>89</v>
      </c>
      <c r="B19" s="3" t="s">
        <v>38</v>
      </c>
      <c r="C19" s="4">
        <v>0</v>
      </c>
      <c r="D19" s="4">
        <f t="shared" si="0"/>
        <v>0</v>
      </c>
    </row>
    <row r="20" spans="1:4" x14ac:dyDescent="0.25">
      <c r="A20" s="14" t="s">
        <v>90</v>
      </c>
      <c r="B20" s="3" t="s">
        <v>40</v>
      </c>
      <c r="C20" s="4">
        <v>0</v>
      </c>
      <c r="D20" s="4">
        <f t="shared" si="0"/>
        <v>0</v>
      </c>
    </row>
    <row r="21" spans="1:4" x14ac:dyDescent="0.25">
      <c r="A21" s="14" t="s">
        <v>91</v>
      </c>
      <c r="B21" s="3" t="s">
        <v>44</v>
      </c>
      <c r="C21" s="4">
        <v>0</v>
      </c>
      <c r="D21" s="4">
        <f t="shared" si="0"/>
        <v>0</v>
      </c>
    </row>
    <row r="22" spans="1:4" x14ac:dyDescent="0.25">
      <c r="A22" s="14">
        <v>10</v>
      </c>
      <c r="B22" s="3" t="s">
        <v>92</v>
      </c>
      <c r="C22" s="4">
        <v>22539.806799999998</v>
      </c>
      <c r="D22" s="4">
        <f t="shared" si="0"/>
        <v>3.6379427054297997</v>
      </c>
    </row>
    <row r="23" spans="1:4" x14ac:dyDescent="0.25">
      <c r="A23" s="14">
        <v>11</v>
      </c>
      <c r="B23" s="3" t="s">
        <v>53</v>
      </c>
      <c r="C23" s="4">
        <v>9589.5298000000003</v>
      </c>
      <c r="D23" s="4">
        <f t="shared" si="0"/>
        <v>1.5477577201066199</v>
      </c>
    </row>
    <row r="24" spans="1:4" x14ac:dyDescent="0.25">
      <c r="A24" s="14">
        <v>12</v>
      </c>
      <c r="B24" s="16" t="s">
        <v>55</v>
      </c>
      <c r="C24" s="4">
        <v>1029.6348</v>
      </c>
      <c r="D24" s="4">
        <f t="shared" si="0"/>
        <v>0.1661838738527551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0"/>
        <v>0</v>
      </c>
    </row>
    <row r="26" spans="1:4" x14ac:dyDescent="0.25">
      <c r="A26" s="14">
        <v>14</v>
      </c>
      <c r="B26" s="16" t="s">
        <v>62</v>
      </c>
      <c r="C26" s="4">
        <v>0</v>
      </c>
      <c r="D26" s="4">
        <f t="shared" si="0"/>
        <v>0</v>
      </c>
    </row>
    <row r="27" spans="1:4" x14ac:dyDescent="0.25">
      <c r="A27" s="14">
        <v>15</v>
      </c>
      <c r="B27" s="16" t="s">
        <v>63</v>
      </c>
      <c r="C27" s="4">
        <v>0</v>
      </c>
      <c r="D27" s="4">
        <f t="shared" si="0"/>
        <v>0</v>
      </c>
    </row>
    <row r="28" spans="1:4" x14ac:dyDescent="0.25">
      <c r="A28" s="14">
        <v>16</v>
      </c>
      <c r="B28" s="16" t="s">
        <v>65</v>
      </c>
      <c r="C28" s="4">
        <v>0</v>
      </c>
      <c r="D28" s="4">
        <f t="shared" si="0"/>
        <v>0</v>
      </c>
    </row>
    <row r="29" spans="1:4" x14ac:dyDescent="0.25">
      <c r="A29" s="14">
        <v>17</v>
      </c>
      <c r="B29" s="16" t="s">
        <v>80</v>
      </c>
      <c r="C29" s="4">
        <v>0</v>
      </c>
      <c r="D29" s="4">
        <f t="shared" si="0"/>
        <v>0</v>
      </c>
    </row>
    <row r="30" spans="1:4" x14ac:dyDescent="0.25">
      <c r="A30" s="14">
        <v>18</v>
      </c>
      <c r="B30" s="16" t="s">
        <v>81</v>
      </c>
      <c r="C30" s="4">
        <v>1459.5157999999999</v>
      </c>
      <c r="D30" s="4">
        <f t="shared" si="0"/>
        <v>0.23556700841240302</v>
      </c>
    </row>
    <row r="31" spans="1:4" x14ac:dyDescent="0.25">
      <c r="A31" s="14">
        <v>19</v>
      </c>
      <c r="B31" s="16" t="s">
        <v>82</v>
      </c>
      <c r="C31" s="4">
        <v>0</v>
      </c>
      <c r="D31" s="4">
        <f t="shared" si="0"/>
        <v>0</v>
      </c>
    </row>
    <row r="32" spans="1:4" x14ac:dyDescent="0.25">
      <c r="A32" s="14">
        <v>20</v>
      </c>
      <c r="B32" s="16" t="s">
        <v>83</v>
      </c>
      <c r="C32" s="4">
        <v>0</v>
      </c>
      <c r="D32" s="4">
        <f t="shared" si="0"/>
        <v>0</v>
      </c>
    </row>
    <row r="33" spans="1:4" x14ac:dyDescent="0.25">
      <c r="A33" s="14">
        <v>21</v>
      </c>
      <c r="B33" s="16" t="s">
        <v>54</v>
      </c>
      <c r="C33" s="45" t="s">
        <v>96</v>
      </c>
      <c r="D33" s="46"/>
    </row>
    <row r="34" spans="1:4" x14ac:dyDescent="0.25">
      <c r="A34" s="6"/>
      <c r="B34" s="7" t="s">
        <v>93</v>
      </c>
      <c r="C34" s="8">
        <f>C36-C35</f>
        <v>619575.64</v>
      </c>
      <c r="D34" s="8">
        <f t="shared" si="0"/>
        <v>100</v>
      </c>
    </row>
    <row r="35" spans="1:4" x14ac:dyDescent="0.25">
      <c r="A35" s="6"/>
      <c r="B35" s="7" t="s">
        <v>94</v>
      </c>
      <c r="C35" s="8">
        <v>0</v>
      </c>
      <c r="D35" s="8">
        <f>(C35*100)/$C$36</f>
        <v>0</v>
      </c>
    </row>
    <row r="36" spans="1:4" x14ac:dyDescent="0.25">
      <c r="A36" s="6"/>
      <c r="B36" s="7" t="s">
        <v>95</v>
      </c>
      <c r="C36" s="8">
        <v>619575.64</v>
      </c>
      <c r="D36" s="8">
        <f>(C36*100)/$C$36</f>
        <v>100</v>
      </c>
    </row>
    <row r="38" spans="1:4" ht="15.75" thickBot="1" x14ac:dyDescent="0.3"/>
    <row r="39" spans="1:4" x14ac:dyDescent="0.25">
      <c r="B39" s="37" t="s">
        <v>54</v>
      </c>
    </row>
    <row r="40" spans="1:4" x14ac:dyDescent="0.25">
      <c r="B40" s="38" t="s">
        <v>70</v>
      </c>
    </row>
    <row r="41" spans="1:4" x14ac:dyDescent="0.25">
      <c r="B41" s="39" t="s">
        <v>75</v>
      </c>
    </row>
    <row r="42" spans="1:4" x14ac:dyDescent="0.25">
      <c r="B42" s="39" t="s">
        <v>76</v>
      </c>
    </row>
    <row r="43" spans="1:4" x14ac:dyDescent="0.25">
      <c r="B43" s="39" t="s">
        <v>77</v>
      </c>
    </row>
    <row r="44" spans="1:4" x14ac:dyDescent="0.25">
      <c r="B44" s="39" t="s">
        <v>78</v>
      </c>
    </row>
    <row r="45" spans="1:4" x14ac:dyDescent="0.25">
      <c r="B45" s="39" t="s">
        <v>74</v>
      </c>
    </row>
    <row r="46" spans="1:4" x14ac:dyDescent="0.25">
      <c r="B46" s="39" t="s">
        <v>73</v>
      </c>
    </row>
    <row r="47" spans="1:4" x14ac:dyDescent="0.25">
      <c r="B47" s="39" t="s">
        <v>71</v>
      </c>
    </row>
    <row r="48" spans="1:4" x14ac:dyDescent="0.25">
      <c r="B48" s="39" t="s">
        <v>72</v>
      </c>
    </row>
    <row r="49" spans="2:2" ht="15.75" thickBot="1" x14ac:dyDescent="0.3">
      <c r="B49" s="40" t="s">
        <v>79</v>
      </c>
    </row>
  </sheetData>
  <mergeCells count="3">
    <mergeCell ref="C10:D10"/>
    <mergeCell ref="C16:D16"/>
    <mergeCell ref="C33:D3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2020-11-20T13:38:24Z</dcterms:modified>
</cp:coreProperties>
</file>