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0" yWindow="0" windowWidth="16380" windowHeight="8190" tabRatio="621" firstSheet="1" activeTab="3"/>
  </bookViews>
  <sheets>
    <sheet name="Definições" sheetId="1" r:id="rId1"/>
    <sheet name="Pontuação" sheetId="2" r:id="rId2"/>
    <sheet name="Memória de Cálculo" sheetId="3" r:id="rId3"/>
    <sheet name="Matriz de Decisão SVDS" sheetId="7" r:id="rId4"/>
    <sheet name="Matriz Julgamento SVDS" sheetId="4" r:id="rId5"/>
  </sheets>
  <calcPr calcId="145621"/>
</workbook>
</file>

<file path=xl/calcChain.xml><?xml version="1.0" encoding="utf-8"?>
<calcChain xmlns="http://schemas.openxmlformats.org/spreadsheetml/2006/main">
  <c r="R14" i="7" l="1"/>
  <c r="Q14" i="7"/>
  <c r="R13" i="7"/>
  <c r="Q13" i="7"/>
  <c r="R12" i="7"/>
  <c r="Q12" i="7"/>
  <c r="R11" i="7"/>
  <c r="Q11" i="7"/>
  <c r="R10" i="7"/>
  <c r="Q10" i="7"/>
  <c r="R9" i="7"/>
  <c r="Q9" i="7"/>
  <c r="R8" i="7"/>
  <c r="Q8" i="7"/>
  <c r="R7" i="7"/>
  <c r="Q7" i="7"/>
  <c r="R6" i="7"/>
  <c r="Q6" i="7"/>
  <c r="R5" i="7"/>
  <c r="Q5" i="7"/>
  <c r="G20" i="7" l="1"/>
  <c r="G21" i="7"/>
  <c r="G22" i="7"/>
  <c r="G23" i="7"/>
  <c r="G24" i="7"/>
  <c r="G25" i="7"/>
  <c r="G26" i="7"/>
  <c r="G27" i="7"/>
  <c r="G28" i="7"/>
  <c r="G19" i="7"/>
  <c r="B62" i="7"/>
  <c r="B63" i="7"/>
  <c r="B64" i="7"/>
  <c r="B65" i="7"/>
  <c r="B66" i="7"/>
  <c r="B67" i="7"/>
  <c r="B68" i="7"/>
  <c r="B69" i="7"/>
  <c r="B70" i="7"/>
  <c r="B61" i="7"/>
  <c r="B48" i="7"/>
  <c r="B49" i="7"/>
  <c r="B50" i="7"/>
  <c r="B51" i="7"/>
  <c r="B52" i="7"/>
  <c r="B53" i="7"/>
  <c r="B54" i="7"/>
  <c r="B55" i="7"/>
  <c r="B56" i="7"/>
  <c r="B47" i="7"/>
  <c r="G76" i="7"/>
  <c r="G77" i="7"/>
  <c r="G78" i="7"/>
  <c r="G79" i="7"/>
  <c r="G80" i="7"/>
  <c r="G81" i="7"/>
  <c r="G82" i="7"/>
  <c r="G83" i="7"/>
  <c r="G84" i="7"/>
  <c r="G75" i="7"/>
  <c r="G62" i="7"/>
  <c r="G63" i="7"/>
  <c r="G64" i="7"/>
  <c r="G65" i="7"/>
  <c r="G66" i="7"/>
  <c r="G67" i="7"/>
  <c r="G68" i="7"/>
  <c r="G69" i="7"/>
  <c r="G70" i="7"/>
  <c r="G61" i="7"/>
  <c r="G48" i="7"/>
  <c r="G49" i="7"/>
  <c r="G50" i="7"/>
  <c r="G51" i="7"/>
  <c r="G52" i="7"/>
  <c r="G53" i="7"/>
  <c r="G54" i="7"/>
  <c r="G55" i="7"/>
  <c r="G56" i="7"/>
  <c r="G47" i="7"/>
  <c r="G34" i="7"/>
  <c r="G35" i="7"/>
  <c r="G36" i="7"/>
  <c r="G37" i="7"/>
  <c r="G38" i="7"/>
  <c r="G39" i="7"/>
  <c r="G40" i="7"/>
  <c r="G41" i="7"/>
  <c r="G42" i="7"/>
  <c r="G33" i="7"/>
  <c r="B76" i="7"/>
  <c r="B77" i="7"/>
  <c r="B78" i="7"/>
  <c r="B79" i="7"/>
  <c r="B80" i="7"/>
  <c r="B81" i="7"/>
  <c r="B82" i="7"/>
  <c r="B83" i="7"/>
  <c r="B84" i="7"/>
  <c r="B75" i="7"/>
  <c r="B34" i="7"/>
  <c r="B35" i="7"/>
  <c r="B36" i="7"/>
  <c r="B37" i="7"/>
  <c r="B38" i="7"/>
  <c r="B39" i="7"/>
  <c r="B40" i="7"/>
  <c r="B41" i="7"/>
  <c r="B42" i="7"/>
  <c r="B33" i="7"/>
  <c r="B20" i="7"/>
  <c r="B21" i="7"/>
  <c r="B22" i="7"/>
  <c r="B23" i="7"/>
  <c r="B24" i="7"/>
  <c r="B25" i="7"/>
  <c r="B26" i="7"/>
  <c r="B27" i="7"/>
  <c r="B28" i="7"/>
  <c r="B19" i="7"/>
  <c r="K4" i="7" l="1"/>
  <c r="J4" i="7"/>
  <c r="I4" i="7"/>
  <c r="H4" i="7"/>
  <c r="G4" i="7"/>
  <c r="F4" i="7"/>
  <c r="E4" i="7"/>
  <c r="D4" i="7"/>
  <c r="C4" i="7"/>
  <c r="B4" i="7"/>
  <c r="G85" i="7"/>
  <c r="H83" i="7" s="1"/>
  <c r="B85" i="7"/>
  <c r="C84" i="7" s="1"/>
  <c r="G71" i="7"/>
  <c r="H63" i="7" s="1"/>
  <c r="B71" i="7"/>
  <c r="G57" i="7"/>
  <c r="H53" i="7" s="1"/>
  <c r="I12" i="7" s="1"/>
  <c r="B57" i="7"/>
  <c r="G43" i="7"/>
  <c r="H42" i="7" s="1"/>
  <c r="B43" i="7"/>
  <c r="C42" i="7" s="1"/>
  <c r="G29" i="7"/>
  <c r="H25" i="7" s="1"/>
  <c r="G12" i="7" s="1"/>
  <c r="B29" i="7"/>
  <c r="C27" i="7" s="1"/>
  <c r="B14" i="7" s="1"/>
  <c r="C25" i="7" l="1"/>
  <c r="B12" i="7" s="1"/>
  <c r="C35" i="7"/>
  <c r="C28" i="7"/>
  <c r="B15" i="7" s="1"/>
  <c r="C37" i="7"/>
  <c r="C22" i="7"/>
  <c r="B9" i="7" s="1"/>
  <c r="H26" i="7"/>
  <c r="G13" i="7" s="1"/>
  <c r="H22" i="7"/>
  <c r="G9" i="7" s="1"/>
  <c r="H84" i="7"/>
  <c r="H80" i="7"/>
  <c r="H82" i="7"/>
  <c r="H76" i="7"/>
  <c r="H78" i="7"/>
  <c r="H61" i="7"/>
  <c r="H64" i="7"/>
  <c r="H66" i="7"/>
  <c r="H69" i="7"/>
  <c r="H48" i="7"/>
  <c r="I7" i="7" s="1"/>
  <c r="H54" i="7"/>
  <c r="I13" i="7" s="1"/>
  <c r="H50" i="7"/>
  <c r="I9" i="7" s="1"/>
  <c r="H56" i="7"/>
  <c r="I15" i="7" s="1"/>
  <c r="H55" i="7"/>
  <c r="I14" i="7" s="1"/>
  <c r="H51" i="7"/>
  <c r="I10" i="7" s="1"/>
  <c r="H47" i="7"/>
  <c r="I6" i="7" s="1"/>
  <c r="H52" i="7"/>
  <c r="I11" i="7" s="1"/>
  <c r="H33" i="7"/>
  <c r="H36" i="7"/>
  <c r="H39" i="7"/>
  <c r="H34" i="7"/>
  <c r="H40" i="7"/>
  <c r="H41" i="7"/>
  <c r="H37" i="7"/>
  <c r="H35" i="7"/>
  <c r="H38" i="7"/>
  <c r="C33" i="7"/>
  <c r="C39" i="7"/>
  <c r="C20" i="7"/>
  <c r="B7" i="7" s="1"/>
  <c r="C23" i="7"/>
  <c r="B10" i="7" s="1"/>
  <c r="C19" i="7"/>
  <c r="B6" i="7" s="1"/>
  <c r="C26" i="7"/>
  <c r="B13" i="7" s="1"/>
  <c r="C21" i="7"/>
  <c r="B8" i="7" s="1"/>
  <c r="C24" i="7"/>
  <c r="B11" i="7" s="1"/>
  <c r="C53" i="7"/>
  <c r="D12" i="7" s="1"/>
  <c r="C56" i="7"/>
  <c r="D15" i="7" s="1"/>
  <c r="C55" i="7"/>
  <c r="D14" i="7" s="1"/>
  <c r="C52" i="7"/>
  <c r="D11" i="7" s="1"/>
  <c r="C51" i="7"/>
  <c r="D10" i="7" s="1"/>
  <c r="C48" i="7"/>
  <c r="D7" i="7" s="1"/>
  <c r="C47" i="7"/>
  <c r="D6" i="7" s="1"/>
  <c r="C50" i="7"/>
  <c r="D9" i="7" s="1"/>
  <c r="C49" i="7"/>
  <c r="D8" i="7" s="1"/>
  <c r="C54" i="7"/>
  <c r="D13" i="7" s="1"/>
  <c r="C68" i="7"/>
  <c r="E13" i="7" s="1"/>
  <c r="C67" i="7"/>
  <c r="E12" i="7" s="1"/>
  <c r="C66" i="7"/>
  <c r="E11" i="7" s="1"/>
  <c r="C65" i="7"/>
  <c r="E10" i="7" s="1"/>
  <c r="C64" i="7"/>
  <c r="E9" i="7" s="1"/>
  <c r="C63" i="7"/>
  <c r="E8" i="7" s="1"/>
  <c r="C70" i="7"/>
  <c r="E15" i="7" s="1"/>
  <c r="C62" i="7"/>
  <c r="E7" i="7" s="1"/>
  <c r="C69" i="7"/>
  <c r="E14" i="7" s="1"/>
  <c r="C61" i="7"/>
  <c r="E6" i="7" s="1"/>
  <c r="C41" i="7"/>
  <c r="H27" i="7"/>
  <c r="G14" i="7" s="1"/>
  <c r="H67" i="7"/>
  <c r="C81" i="7"/>
  <c r="H70" i="7"/>
  <c r="H20" i="7"/>
  <c r="G7" i="7" s="1"/>
  <c r="H24" i="7"/>
  <c r="G11" i="7" s="1"/>
  <c r="H28" i="7"/>
  <c r="G15" i="7" s="1"/>
  <c r="H49" i="7"/>
  <c r="I8" i="7" s="1"/>
  <c r="H65" i="7"/>
  <c r="H75" i="7"/>
  <c r="H77" i="7"/>
  <c r="H79" i="7"/>
  <c r="H81" i="7"/>
  <c r="H19" i="7"/>
  <c r="C75" i="7"/>
  <c r="C77" i="7"/>
  <c r="C79" i="7"/>
  <c r="C83" i="7"/>
  <c r="H62" i="7"/>
  <c r="C34" i="7"/>
  <c r="C36" i="7"/>
  <c r="C38" i="7"/>
  <c r="C40" i="7"/>
  <c r="H68" i="7"/>
  <c r="H23" i="7"/>
  <c r="G10" i="7" s="1"/>
  <c r="H21" i="7"/>
  <c r="G8" i="7" s="1"/>
  <c r="C76" i="7"/>
  <c r="C78" i="7"/>
  <c r="C80" i="7"/>
  <c r="C82" i="7"/>
  <c r="Q44" i="3"/>
  <c r="R40" i="3" s="1"/>
  <c r="P29" i="3"/>
  <c r="Q28" i="3" s="1"/>
  <c r="Q20" i="3"/>
  <c r="F44" i="3"/>
  <c r="G43" i="3" s="1"/>
  <c r="H29" i="3"/>
  <c r="E59" i="3"/>
  <c r="F54" i="3" s="1"/>
  <c r="H14" i="3"/>
  <c r="I13" i="3" s="1"/>
  <c r="R14" i="3"/>
  <c r="S13" i="3" s="1"/>
  <c r="N90" i="3"/>
  <c r="O74" i="3"/>
  <c r="P68" i="3" s="1"/>
  <c r="O59" i="3"/>
  <c r="P54" i="3" s="1"/>
  <c r="H43" i="7" l="1"/>
  <c r="I39" i="7" s="1"/>
  <c r="H12" i="7" s="1"/>
  <c r="C43" i="7"/>
  <c r="D34" i="7" s="1"/>
  <c r="C7" i="7" s="1"/>
  <c r="C29" i="7"/>
  <c r="I26" i="3"/>
  <c r="I24" i="3"/>
  <c r="C71" i="7"/>
  <c r="G6" i="7"/>
  <c r="H29" i="7"/>
  <c r="H85" i="7"/>
  <c r="I81" i="7" s="1"/>
  <c r="K12" i="7" s="1"/>
  <c r="H57" i="7"/>
  <c r="H71" i="7"/>
  <c r="I68" i="7" s="1"/>
  <c r="J13" i="7" s="1"/>
  <c r="C85" i="7"/>
  <c r="D84" i="7" s="1"/>
  <c r="F15" i="7" s="1"/>
  <c r="C57" i="7"/>
  <c r="Q19" i="3"/>
  <c r="Q21" i="3"/>
  <c r="Q22" i="3"/>
  <c r="Q23" i="3"/>
  <c r="Q24" i="3"/>
  <c r="Q25" i="3"/>
  <c r="Q26" i="3"/>
  <c r="Q27" i="3"/>
  <c r="G38" i="3"/>
  <c r="G39" i="3"/>
  <c r="G37" i="3"/>
  <c r="G40" i="3"/>
  <c r="G41" i="3"/>
  <c r="G36" i="3"/>
  <c r="G34" i="3"/>
  <c r="G42" i="3"/>
  <c r="G35" i="3"/>
  <c r="D36" i="7" l="1"/>
  <c r="C9" i="7" s="1"/>
  <c r="D38" i="7"/>
  <c r="C11" i="7" s="1"/>
  <c r="D41" i="7"/>
  <c r="C14" i="7" s="1"/>
  <c r="I34" i="7"/>
  <c r="H7" i="7" s="1"/>
  <c r="I75" i="7"/>
  <c r="K6" i="7" s="1"/>
  <c r="I40" i="7"/>
  <c r="H13" i="7" s="1"/>
  <c r="I42" i="7"/>
  <c r="H15" i="7" s="1"/>
  <c r="I38" i="7"/>
  <c r="H11" i="7" s="1"/>
  <c r="I36" i="7"/>
  <c r="H9" i="7" s="1"/>
  <c r="I33" i="7"/>
  <c r="I41" i="7"/>
  <c r="H14" i="7" s="1"/>
  <c r="I35" i="7"/>
  <c r="H8" i="7" s="1"/>
  <c r="I37" i="7"/>
  <c r="H10" i="7" s="1"/>
  <c r="D77" i="7"/>
  <c r="F8" i="7" s="1"/>
  <c r="I79" i="7"/>
  <c r="K10" i="7" s="1"/>
  <c r="D76" i="7"/>
  <c r="F7" i="7" s="1"/>
  <c r="D83" i="7"/>
  <c r="F14" i="7" s="1"/>
  <c r="I82" i="7"/>
  <c r="K13" i="7" s="1"/>
  <c r="I76" i="7"/>
  <c r="K7" i="7" s="1"/>
  <c r="I78" i="7"/>
  <c r="K9" i="7" s="1"/>
  <c r="I80" i="7"/>
  <c r="K11" i="7" s="1"/>
  <c r="I83" i="7"/>
  <c r="K14" i="7" s="1"/>
  <c r="I84" i="7"/>
  <c r="K15" i="7" s="1"/>
  <c r="D78" i="7"/>
  <c r="F9" i="7" s="1"/>
  <c r="I77" i="7"/>
  <c r="K8" i="7" s="1"/>
  <c r="I66" i="7"/>
  <c r="J11" i="7" s="1"/>
  <c r="I63" i="7"/>
  <c r="J8" i="7" s="1"/>
  <c r="I64" i="7"/>
  <c r="J9" i="7" s="1"/>
  <c r="I69" i="7"/>
  <c r="J14" i="7" s="1"/>
  <c r="I61" i="7"/>
  <c r="D79" i="7"/>
  <c r="F10" i="7" s="1"/>
  <c r="I62" i="7"/>
  <c r="J7" i="7" s="1"/>
  <c r="D82" i="7"/>
  <c r="F13" i="7" s="1"/>
  <c r="D37" i="7"/>
  <c r="C10" i="7" s="1"/>
  <c r="D33" i="7"/>
  <c r="D35" i="7"/>
  <c r="C8" i="7" s="1"/>
  <c r="D39" i="7"/>
  <c r="C12" i="7" s="1"/>
  <c r="D42" i="7"/>
  <c r="C15" i="7" s="1"/>
  <c r="I67" i="7"/>
  <c r="J12" i="7" s="1"/>
  <c r="D40" i="7"/>
  <c r="C13" i="7" s="1"/>
  <c r="D75" i="7"/>
  <c r="D81" i="7"/>
  <c r="F12" i="7" s="1"/>
  <c r="I65" i="7"/>
  <c r="J10" i="7" s="1"/>
  <c r="I70" i="7"/>
  <c r="J15" i="7" s="1"/>
  <c r="D80" i="7"/>
  <c r="F11" i="7" s="1"/>
  <c r="Q29" i="3"/>
  <c r="L14" i="7" l="1"/>
  <c r="L7" i="7"/>
  <c r="L15" i="7"/>
  <c r="L9" i="7"/>
  <c r="L10" i="7"/>
  <c r="L11" i="7"/>
  <c r="I43" i="7"/>
  <c r="H6" i="7"/>
  <c r="L13" i="7"/>
  <c r="I85" i="7"/>
  <c r="L12" i="7"/>
  <c r="J6" i="7"/>
  <c r="I71" i="7"/>
  <c r="L8" i="7"/>
  <c r="F6" i="7"/>
  <c r="D85" i="7"/>
  <c r="C6" i="7"/>
  <c r="D43" i="7"/>
  <c r="L6" i="7" l="1"/>
  <c r="D4" i="3"/>
  <c r="F15" i="4" l="1"/>
  <c r="E15" i="4"/>
  <c r="L14" i="4"/>
  <c r="K15" i="4" s="1"/>
  <c r="I14" i="4"/>
  <c r="H14" i="4"/>
  <c r="L13" i="4"/>
  <c r="J15" i="4" s="1"/>
  <c r="K13" i="4"/>
  <c r="J14" i="4" s="1"/>
  <c r="D13" i="4"/>
  <c r="C13" i="4"/>
  <c r="L12" i="4"/>
  <c r="I15" i="4" s="1"/>
  <c r="K12" i="4"/>
  <c r="J12" i="4"/>
  <c r="I13" i="4" s="1"/>
  <c r="L11" i="4"/>
  <c r="H15" i="4" s="1"/>
  <c r="K11" i="4"/>
  <c r="J11" i="4"/>
  <c r="H13" i="4" s="1"/>
  <c r="I11" i="4"/>
  <c r="H12" i="4" s="1"/>
  <c r="L10" i="4"/>
  <c r="G15" i="4" s="1"/>
  <c r="K10" i="4"/>
  <c r="G14" i="4" s="1"/>
  <c r="J10" i="4"/>
  <c r="G13" i="4" s="1"/>
  <c r="I10" i="4"/>
  <c r="G12" i="4" s="1"/>
  <c r="H10" i="4"/>
  <c r="G11" i="4" s="1"/>
  <c r="E10" i="4"/>
  <c r="L9" i="4"/>
  <c r="K9" i="4"/>
  <c r="F14" i="4" s="1"/>
  <c r="J9" i="4"/>
  <c r="F13" i="4" s="1"/>
  <c r="I9" i="4"/>
  <c r="F12" i="4" s="1"/>
  <c r="H9" i="4"/>
  <c r="F11" i="4" s="1"/>
  <c r="G9" i="4"/>
  <c r="F10" i="4" s="1"/>
  <c r="E9" i="4"/>
  <c r="L8" i="4"/>
  <c r="K8" i="4"/>
  <c r="J8" i="4"/>
  <c r="E13" i="4" s="1"/>
  <c r="I8" i="4"/>
  <c r="E12" i="4" s="1"/>
  <c r="H8" i="4"/>
  <c r="E11" i="4" s="1"/>
  <c r="G8" i="4"/>
  <c r="L7" i="4"/>
  <c r="D15" i="4" s="1"/>
  <c r="K7" i="4"/>
  <c r="D14" i="4" s="1"/>
  <c r="J7" i="4"/>
  <c r="I7" i="4"/>
  <c r="D12" i="4" s="1"/>
  <c r="H7" i="4"/>
  <c r="D11" i="4" s="1"/>
  <c r="G7" i="4"/>
  <c r="D10" i="4" s="1"/>
  <c r="F7" i="4"/>
  <c r="E7" i="4"/>
  <c r="D8" i="4" s="1"/>
  <c r="L6" i="4"/>
  <c r="K6" i="4"/>
  <c r="C14" i="4" s="1"/>
  <c r="J6" i="4"/>
  <c r="I6" i="4"/>
  <c r="H6" i="4"/>
  <c r="G6" i="4"/>
  <c r="C10" i="4" s="1"/>
  <c r="F6" i="4"/>
  <c r="C9" i="4" s="1"/>
  <c r="E6" i="4"/>
  <c r="D6" i="4"/>
  <c r="O80" i="3"/>
  <c r="P51" i="3"/>
  <c r="R36" i="3"/>
  <c r="I23" i="3"/>
  <c r="S7" i="3"/>
  <c r="I7" i="3" l="1"/>
  <c r="I8" i="3"/>
  <c r="I12" i="3"/>
  <c r="I6" i="3"/>
  <c r="I5" i="3"/>
  <c r="I11" i="3"/>
  <c r="M10" i="4"/>
  <c r="M13" i="4"/>
  <c r="I9" i="3"/>
  <c r="I22" i="3"/>
  <c r="J16" i="4"/>
  <c r="I4" i="3"/>
  <c r="I10" i="3"/>
  <c r="P72" i="3"/>
  <c r="F55" i="3"/>
  <c r="P73" i="3"/>
  <c r="F56" i="3"/>
  <c r="P64" i="3"/>
  <c r="F49" i="3"/>
  <c r="P65" i="3"/>
  <c r="F51" i="3"/>
  <c r="F57" i="3"/>
  <c r="P67" i="3"/>
  <c r="F52" i="3"/>
  <c r="F58" i="3"/>
  <c r="S11" i="3"/>
  <c r="F50" i="3"/>
  <c r="P56" i="3"/>
  <c r="F53" i="3"/>
  <c r="P69" i="3"/>
  <c r="P71" i="3"/>
  <c r="S4" i="3"/>
  <c r="S9" i="3"/>
  <c r="R38" i="3"/>
  <c r="R37" i="3"/>
  <c r="R42" i="3"/>
  <c r="R34" i="3"/>
  <c r="O87" i="3"/>
  <c r="O83" i="3"/>
  <c r="O86" i="3"/>
  <c r="O82" i="3"/>
  <c r="O89" i="3"/>
  <c r="O85" i="3"/>
  <c r="O81" i="3"/>
  <c r="K16" i="4"/>
  <c r="E14" i="4"/>
  <c r="M14" i="4" s="1"/>
  <c r="C7" i="4"/>
  <c r="M6" i="4"/>
  <c r="R35" i="3"/>
  <c r="R39" i="3"/>
  <c r="R43" i="3"/>
  <c r="O84" i="3"/>
  <c r="D9" i="4"/>
  <c r="M9" i="4" s="1"/>
  <c r="F16" i="4"/>
  <c r="O88" i="3"/>
  <c r="H16" i="4"/>
  <c r="C11" i="4"/>
  <c r="M11" i="4" s="1"/>
  <c r="S10" i="3"/>
  <c r="S8" i="3"/>
  <c r="I21" i="3"/>
  <c r="I28" i="3"/>
  <c r="I20" i="3"/>
  <c r="I25" i="3"/>
  <c r="I27" i="3"/>
  <c r="P55" i="3"/>
  <c r="S5" i="3"/>
  <c r="I19" i="3"/>
  <c r="R41" i="3"/>
  <c r="I16" i="4"/>
  <c r="C12" i="4"/>
  <c r="M12" i="4" s="1"/>
  <c r="P58" i="3"/>
  <c r="P50" i="3"/>
  <c r="P57" i="3"/>
  <c r="P53" i="3"/>
  <c r="P49" i="3"/>
  <c r="P52" i="3"/>
  <c r="S6" i="3"/>
  <c r="S12" i="3"/>
  <c r="C15" i="4"/>
  <c r="M15" i="4" s="1"/>
  <c r="L16" i="4"/>
  <c r="P66" i="3"/>
  <c r="P70" i="3"/>
  <c r="C8" i="4"/>
  <c r="M8" i="4" s="1"/>
  <c r="G16" i="4"/>
  <c r="I29" i="3" l="1"/>
  <c r="J26" i="3" s="1"/>
  <c r="S14" i="3"/>
  <c r="T13" i="3" s="1"/>
  <c r="I14" i="3"/>
  <c r="R44" i="3"/>
  <c r="S36" i="3" s="1"/>
  <c r="G44" i="3"/>
  <c r="O90" i="3"/>
  <c r="P84" i="3" s="1"/>
  <c r="P74" i="3"/>
  <c r="F59" i="3"/>
  <c r="P59" i="3"/>
  <c r="E16" i="4"/>
  <c r="D16" i="4"/>
  <c r="C16" i="4"/>
  <c r="M7" i="4"/>
  <c r="M16" i="4" s="1"/>
  <c r="T5" i="3" l="1"/>
  <c r="S43" i="3"/>
  <c r="S40" i="3"/>
  <c r="Q72" i="3"/>
  <c r="Q68" i="3"/>
  <c r="P80" i="3"/>
  <c r="P85" i="3"/>
  <c r="P82" i="3"/>
  <c r="P81" i="3"/>
  <c r="P87" i="3"/>
  <c r="P89" i="3"/>
  <c r="P86" i="3"/>
  <c r="P88" i="3"/>
  <c r="P83" i="3"/>
  <c r="S35" i="3"/>
  <c r="Q70" i="3"/>
  <c r="Q67" i="3"/>
  <c r="S37" i="3"/>
  <c r="Q65" i="3"/>
  <c r="Q69" i="3"/>
  <c r="S38" i="3"/>
  <c r="T8" i="3"/>
  <c r="Q64" i="3"/>
  <c r="Q73" i="3"/>
  <c r="Q66" i="3"/>
  <c r="Q71" i="3"/>
  <c r="N16" i="4"/>
  <c r="N13" i="4"/>
  <c r="N10" i="4"/>
  <c r="N15" i="4"/>
  <c r="N6" i="4"/>
  <c r="J23" i="3"/>
  <c r="J22" i="3"/>
  <c r="J24" i="3"/>
  <c r="J21" i="3"/>
  <c r="J20" i="3"/>
  <c r="N14" i="4"/>
  <c r="T10" i="3"/>
  <c r="J19" i="3"/>
  <c r="N8" i="4"/>
  <c r="T6" i="3"/>
  <c r="S41" i="3"/>
  <c r="S42" i="3"/>
  <c r="N12" i="4"/>
  <c r="T4" i="3"/>
  <c r="T11" i="3"/>
  <c r="T9" i="3"/>
  <c r="T7" i="3"/>
  <c r="J27" i="3"/>
  <c r="J28" i="3"/>
  <c r="T12" i="3"/>
  <c r="J25" i="3"/>
  <c r="N7" i="4"/>
  <c r="S34" i="3"/>
  <c r="S39" i="3"/>
  <c r="N9" i="4"/>
  <c r="N11" i="4"/>
  <c r="C18" i="4" s="1"/>
  <c r="C19" i="4" s="1"/>
  <c r="C20" i="4" s="1"/>
  <c r="J29" i="3" l="1"/>
  <c r="T14" i="3"/>
  <c r="S44" i="3"/>
  <c r="P90" i="3"/>
  <c r="Q74" i="3"/>
</calcChain>
</file>

<file path=xl/sharedStrings.xml><?xml version="1.0" encoding="utf-8"?>
<sst xmlns="http://schemas.openxmlformats.org/spreadsheetml/2006/main" count="730" uniqueCount="193">
  <si>
    <t>OBJETIVO</t>
  </si>
  <si>
    <t>Definir a viabilidade de implantação dos parques lineares, de acordo com critérios ambientais, sociais, urbanísticos, obras e orçamentários, tendo o custo como primordial.</t>
  </si>
  <si>
    <t>CRITÉRIOS</t>
  </si>
  <si>
    <t>SUB-CRITÉRIOS</t>
  </si>
  <si>
    <t>DEFINIÇÃO E ESCALA CONCEITUAL</t>
  </si>
  <si>
    <t>ATRIBUTO</t>
  </si>
  <si>
    <t xml:space="preserve">Aspectos Ambientais: </t>
  </si>
  <si>
    <t>Critério ambiental que apresenta a proporção da vegetação nativa existente dentro dos limites do parque linear, em relação a área total de vegetação, associada ao estágio de regeneração e a localização dentro ou fora de APP. Sendo este um atributo direto, tendo como escala conceitual os parâmetros: (5) &gt; 10% de vegetação nativa no parque + estágio de regeneração médio e/ou inicial + &gt; 50% desta em APP; (4) &gt; 5% de vegetação nativa + estágio de regeneração médio e/ou inicial + &gt; 50% desta em APP; (3) &gt; 5% de vegetação nativa + estágio de regeneração médio e/ou inicial + &lt; 50% em  APP; (2) &lt; 5% vegetação nativa + estágio de regeneração inicial ou pioneiro + &lt; 50% em APP; (1) Ausência de vegetação nativa.</t>
  </si>
  <si>
    <t>DIRETO</t>
  </si>
  <si>
    <t>Critério ambiental que apresenta a presença de fatores de degradação como descarte de resíduos sólidos, lançamento de esgotos, erosão significativa e vegetação exótica invasora. Sendo este um atributo indireto, ou seja, quanto mais fatores de degradação menor a viabilidade para a implantação deste parque. A avaliação foi realizada considerando as seguintes definições: 
Descarte de resíduos sólidos: Quando forem identificados pontos viciados de descarte ou descarte generalizado em grande parte da área do parque;
Lançamento de esgotos: Quando verificado que o curso d´agua apresenta aspectos de péssima qualidade de água devido a lançamentos de esgotos ou efluentes sem tratamento;
Erosão Significativa: perda de solo ocasionada por enxurrada concentrada em trecho específico ao longo das margens do curso d´água relacionada ao lançamento de águas pluviais ou em trechos de meandros do curso d´água que com o aumento considerável de vazão em curto período de tempo (chuvas torrenciais), associado à fragilidade do solo, ocasionam o carreamento do solo e a definição de sulcos que comprometem a estrutura de passarelas, ruas, passeios públicos, áreas de convivência, entre outras áreas destinadas à composição do parque linear ou a segurança de seus usuários. Com relação ao grau de significância, a presença de erosão considerada significativa é caracterizada quando se constata, na fase de diagnóstico, seja durante a vistoria ou por meio de imagens aéreas, a ocorrência de processo erosivo ativo e em desenvolvimento, que represente risco de comprometimento de infraestrutura urbana, e que demande da execução de obras estruturais para sua correção;  
Vegetação Exótica Invasora: presença de agrupamento monoespecífico (conjunto de exemplares arbóreos da mesma espécie botânica, sendo mais comum da espécie Leucaena leucocephala (leucena), com área mínima do agrupamento de 100,00m² ou de outras espécies listadas na Resolução Municipal nº 12/15, sendo estas ruderais ou com características de espécie ruderal, ou seja, que podem proliferar em áreas perturbadas e dificultar o estabelecimento de espécies nativas e que exijam manejo específico para serem removidas.
A pontuação relativa ao critério “B. Área degradada” leva em consideração os fatores acima indicados em conjunto, de acordo com as condições verificadas na fase de diagnóstico de cada parque, da seguinte forma: 
• Pontuação (3): Área muito degradada; Ocorrência de 3 ou mais elementos de degradação na área, tais como a presença de erosão significativa, a existência de pontos viciados de descarte de resíduos e de agrupamentos monoespecíficos de espécies invasoras maiores de 100m2, por exemplo;
• Pontuação (2): Área moderadamente degradada: Ocorrência de 2 elementos de degradação na área;
• Pontuação (1): Área pouco degradada. Ocorrência de 1 elemento de degradação na área;</t>
  </si>
  <si>
    <t>INDIRETO</t>
  </si>
  <si>
    <t xml:space="preserve">Aspectos Sociais: </t>
  </si>
  <si>
    <t>Critério Social que avalia a existência de bairros consolidados no entorno da área destinada ao parque com equipamentos de esporte e lazer e/ou equipamentos comunitários em seu entorno imediato tais como escolas, creches, associações, que indiquem potencial público e demanda para utilização do parque, sendo este um atributo direto, ou seja, quanto mais equipamentos maior a viabilidade  para a implantação do parque. (3) Bairro Consolidado e Expressiva quantidade de equipamentos públicos no parque ou entorno; (2) Bairro Consolidado e Moderada quantidade de equipamentos no parque ou entorno; (1) Bairro precário e Baixa quantidade ou ausência de equipamentos públicos no parque e entorno. (Entorno: raio de 500,00m)</t>
  </si>
  <si>
    <t xml:space="preserve">Aspectos Engenharia e Infraestrutura: </t>
  </si>
  <si>
    <t xml:space="preserve">Arquitetura e Mobilidade: </t>
  </si>
  <si>
    <t xml:space="preserve">Aspectos Jurídicos: </t>
  </si>
  <si>
    <t>H. Dominialidade</t>
  </si>
  <si>
    <t>Critério Jurídico que considera a porcentagem de área sob dominialidade pública em relação à área do parque, considerando os limites da área proposta para o respectivo parque na fase de diagnóstico e as informações disponibilizadas pelo DIDC/SEPLURB. Atributo direto: quanto maior a área pública maior a viabilidade para implantação do parque. (3) &gt; 70% da área do parque; (2) Entre 30 e 70% da área do parque; (1) &lt; 30% da área do parque.</t>
  </si>
  <si>
    <t>I. Áreas Contaminadas</t>
  </si>
  <si>
    <t>Critério Orçamentário</t>
  </si>
  <si>
    <t xml:space="preserve">J. Custo de Implantação </t>
  </si>
  <si>
    <t>Custo estimado de implantação do parque considerando valores por m² ou metros lineares. Atributo Indireto: quanto mais elevado o custo menos viável sua implantação.</t>
  </si>
  <si>
    <t>PONTUAÇÃO BASE PARA MATRIZ DE DECISÃO</t>
  </si>
  <si>
    <t>Critério Ambiental</t>
  </si>
  <si>
    <t>Pontos</t>
  </si>
  <si>
    <t>A. Vegetação Nativa (Direto)</t>
  </si>
  <si>
    <t>&gt; 10% de vegetação nativa no parque + estágio de regeneração médio e/ou inicial + &gt; 50% desta em APP</t>
  </si>
  <si>
    <t>&gt; 5% de vegetação nativa + estágio de regeneração médio e/ou inicial + &gt; 50% desta em APP</t>
  </si>
  <si>
    <t>&gt; 5% de vegetação nativa + estágio de regeneração médio e/ou inicial + &lt; 50% em  APP</t>
  </si>
  <si>
    <t>&lt; 5% vegetação nativa + estágio de regeneração inicial ou pioneiro + &lt; 50% em APP</t>
  </si>
  <si>
    <t>B. Área Degradada (Indireto)</t>
  </si>
  <si>
    <t>Área moderadamente degradada: Ocorrência de 2 elementos de degradação na área;</t>
  </si>
  <si>
    <t>Critério Aspectos Sociais</t>
  </si>
  <si>
    <t>C. Pertencimento (Direto)</t>
  </si>
  <si>
    <t xml:space="preserve">Presença identificada de convívio comunitário forte, demonstrável pela observação de vínculos saudáveis de uso e cuidado da comunidade com a área destinada ao parque, tendo realizado intervenções no espaço tais como: implantação de parque infantil e/ou hortas e/ou jardins comunitários e/ou áreas de lazer e convívio, entre outras intervenções que denotem senso de comunidade significativo, valorização e preservação do espaço comum. </t>
  </si>
  <si>
    <t xml:space="preserve">Presença de Organizações da Sociedade Civil (OSC) atuantes e/ou Serviços de Proteção Social vinculados à Secretaria Municipal de Assistência Social de Campinas e/ou Associações ou Comissões de moradores e/ou líderes comunitários com histórico de mobilizações em prol do território e sua população, portanto capazes de assumir compromissos em relação ao parque ou motivadas para fazê-lo. </t>
  </si>
  <si>
    <t>Escassez ou ausência identificada de ações comunitárias, organizações sociais e serviços de proteção social no entorno da área destinada ao parque.(Entorno: raio de 500,00m)</t>
  </si>
  <si>
    <t>D. Consolidação do Entorno (Direto)</t>
  </si>
  <si>
    <t>Bairro consolidado e expressiva quantidade de equipamentos públicos no parque ou entorno</t>
  </si>
  <si>
    <t>Bairro Consolidado e Moderada quantidade de equipamentos no parque ou entorno</t>
  </si>
  <si>
    <t>Critério Aspectos de Engenharia e Infraestrutura</t>
  </si>
  <si>
    <t>E. Obras de Infraestrutura (Indireto)</t>
  </si>
  <si>
    <t xml:space="preserve">Obras de alta complexidade, ou seja, são necessárias obras de infraestrutura no parque e seu entorno tais como pavimentação de vias, galerias de drenagem pluvial, barramentos de controle de cheias, redes de esgotos, travessias viárias, proteção de margens, entre outras; </t>
  </si>
  <si>
    <t xml:space="preserve">Obras de média complexidade, tais como passarelas para pedestres, pequenos acertos topográficos, ou ainda as obras acima listadas, mas em trechos pontuais, de pequeno porte e de execução simples; </t>
  </si>
  <si>
    <t>Obras de baixa complexidade, basicamente não sendo necessárias obras significativas além daquelas necessárias à implantação dos equipamentos propostos para o parque em questão.</t>
  </si>
  <si>
    <t>Critério Arquitetura e Mobilidade</t>
  </si>
  <si>
    <t>F. Mobilidade (Direto)</t>
  </si>
  <si>
    <t>Critério Aspectos Jurídicos</t>
  </si>
  <si>
    <t>G. Ocupações Irregulares (Indireto)</t>
  </si>
  <si>
    <t>H. Dominialidade - áreas públicas (Direto)</t>
  </si>
  <si>
    <t xml:space="preserve"> &gt; 70% da área do parque</t>
  </si>
  <si>
    <t>Entre 30 e 70% da área do parque</t>
  </si>
  <si>
    <t>&lt; 30% da área do parque</t>
  </si>
  <si>
    <t>I. Áreas Contaminadas (Indireto)</t>
  </si>
  <si>
    <t>J. Custo de Implantação (Indireto)</t>
  </si>
  <si>
    <t>Valor absoluto</t>
  </si>
  <si>
    <t xml:space="preserve">Custo estimado de implantação do parque considerando valores por m² ou metros lineares. </t>
  </si>
  <si>
    <t>CRITÉRIO AMBIENTAL: A.VEGETAÇÃO NATIVA</t>
  </si>
  <si>
    <t>PARQUE</t>
  </si>
  <si>
    <t>Área de Vegetação Nativa Existente em APP (m²)</t>
  </si>
  <si>
    <t>Área de Vegetação Nativa Existente em APP em relação com a Área Total de Vegetação Nativa Existente no Parque (%)</t>
  </si>
  <si>
    <t>Área Total de Vegetação Nativa Existente (m²)</t>
  </si>
  <si>
    <t>Área de Vegetação Nativa em relação à Área Total do Parque (%)</t>
  </si>
  <si>
    <t>Estágio de Regeneração</t>
  </si>
  <si>
    <t>PONTUAÇÃO</t>
  </si>
  <si>
    <t>NORMALIZAÇÃO</t>
  </si>
  <si>
    <t>Obras de Infraestrutura básica</t>
  </si>
  <si>
    <t>Pavimentação de Vias (Necessidade)</t>
  </si>
  <si>
    <t>Complexidade</t>
  </si>
  <si>
    <t>HARMONIZAÇÃO</t>
  </si>
  <si>
    <t>-</t>
  </si>
  <si>
    <t>NÃO</t>
  </si>
  <si>
    <t>SIM</t>
  </si>
  <si>
    <t>ALTA</t>
  </si>
  <si>
    <t>INICIAL</t>
  </si>
  <si>
    <t>MÉDIA</t>
  </si>
  <si>
    <t>BAIXA</t>
  </si>
  <si>
    <t>MÉDIO</t>
  </si>
  <si>
    <t>TOTAL</t>
  </si>
  <si>
    <t>CRITÉRIO AMBIENTAL: B. ÁREA DEGRADADA</t>
  </si>
  <si>
    <t>CRITÉRIO ARQUITETURA E MOBILIDADE: F. MOBILIDADE</t>
  </si>
  <si>
    <t>Pontos de descarte de Resíduos</t>
  </si>
  <si>
    <t>Constatação de Lançamento ou odor característico indicando presença de esgoto no curso d´água</t>
  </si>
  <si>
    <t>Presença de Erosão Significativa</t>
  </si>
  <si>
    <t>Presença de agrupamento de Espécie exótica invasora</t>
  </si>
  <si>
    <t>DEGRADAÇÃO</t>
  </si>
  <si>
    <t>Elementos de Rota de Acesso</t>
  </si>
  <si>
    <t>Quantidade de elementos de priorização de Pedestre (ciclovia, passeio público, via compartilhada)</t>
  </si>
  <si>
    <t>MODERADO</t>
  </si>
  <si>
    <t>POUCO</t>
  </si>
  <si>
    <t>CRITÉRIO SOCIAL: C. PERTENCIMENTO</t>
  </si>
  <si>
    <t>CRITÉRIO JURÍDICO: G. OCUPAÇÕES IRREGULARES</t>
  </si>
  <si>
    <t>Ações Concretas da Comunidade (Horta, Parque Infantil, Quadras, Campos de futebol, etc)</t>
  </si>
  <si>
    <t>Presença de ONGs, Asssociações, Líderes Comunitários</t>
  </si>
  <si>
    <t>PERTENCIMENTO</t>
  </si>
  <si>
    <t>Área (m²)</t>
  </si>
  <si>
    <t>Área (%)</t>
  </si>
  <si>
    <t xml:space="preserve">Complexidade </t>
  </si>
  <si>
    <t>AUSÊNCIA</t>
  </si>
  <si>
    <t>PRESENÇA</t>
  </si>
  <si>
    <t>CRITÉRIO SOCIAL: D. CONSOLIDAÇÃO DO ENTORNO</t>
  </si>
  <si>
    <t>CRITÉRIO JURÍDICO: H. DOMINIALIDADE</t>
  </si>
  <si>
    <t xml:space="preserve">Bairros consolidados </t>
  </si>
  <si>
    <t>Equipamentos públicos</t>
  </si>
  <si>
    <t>CRITÉRIO JURÍDICO: I. ÁREAS CONTAMINADAS</t>
  </si>
  <si>
    <t>Entorno 500m</t>
  </si>
  <si>
    <t>CRITÉRIO JURÍDICO: J. CUSTO ESTIMADO</t>
  </si>
  <si>
    <t>VALOR (R$)</t>
  </si>
  <si>
    <t>Objetivo:</t>
  </si>
  <si>
    <t>MATRIZ DE JULGAMENTO</t>
  </si>
  <si>
    <t>A</t>
  </si>
  <si>
    <t>B</t>
  </si>
  <si>
    <t>C</t>
  </si>
  <si>
    <t>D</t>
  </si>
  <si>
    <t>E</t>
  </si>
  <si>
    <t>F</t>
  </si>
  <si>
    <t>G</t>
  </si>
  <si>
    <t>H</t>
  </si>
  <si>
    <t>I</t>
  </si>
  <si>
    <t>J</t>
  </si>
  <si>
    <t>Auto Vetor</t>
  </si>
  <si>
    <t>Auto Vetor Normalizado</t>
  </si>
  <si>
    <t>J. Custo de Implantação (Indireto) / Instalações – Orçamento Implantações</t>
  </si>
  <si>
    <t>∑</t>
  </si>
  <si>
    <t>λ max</t>
  </si>
  <si>
    <t>IC</t>
  </si>
  <si>
    <t>RC</t>
  </si>
  <si>
    <t>Julgamento recíproco, não alterar.</t>
  </si>
  <si>
    <t>Julgamento variável = Escala de Julgamento (Saaty, 1990).</t>
  </si>
  <si>
    <t>Matriz recíproca, valor sempre = 1.</t>
  </si>
  <si>
    <t>Parques Lineares de Alta Prioridade</t>
  </si>
  <si>
    <t>CRITERIOS /ALTERNATIVAS</t>
  </si>
  <si>
    <t>VETOR DE DECISÃO</t>
  </si>
  <si>
    <t>VIABILIDADE DE IMPLANTAÇÃO</t>
  </si>
  <si>
    <t>VETOR DE CRITÉRIOS</t>
  </si>
  <si>
    <t>Viabilidade de Implantação</t>
  </si>
  <si>
    <t>Vetor de Decisão</t>
  </si>
  <si>
    <t>Parque Linear</t>
  </si>
  <si>
    <t>ALTERNATIVAS</t>
  </si>
  <si>
    <t>CRITÉRIO A</t>
  </si>
  <si>
    <t>VEGETAÇÃO NATIVA (DIRETO)</t>
  </si>
  <si>
    <t>CRITÉRIO F</t>
  </si>
  <si>
    <t>CRITÉRIO B</t>
  </si>
  <si>
    <t>CRITÉRIO G</t>
  </si>
  <si>
    <t>CRITÉRIO C</t>
  </si>
  <si>
    <t>CRITÉRIO H</t>
  </si>
  <si>
    <t>CRITÉRIO D</t>
  </si>
  <si>
    <t>CRITÉRIO I</t>
  </si>
  <si>
    <t>CRITÉRIO E</t>
  </si>
  <si>
    <t>CUSTO ESTIMADO</t>
  </si>
  <si>
    <t>Critério que considera a presença de áreas contaminadas na área destinada ao parque e entorno de 500,00m segundo dados disponibilizados pela CETESB – Cadastro de  Áreas Contaminadas 2018/2019, no portal DataGeo (http://datageo.ambiente.sp.gov.br/) ou ainda por se tratar de área viciada de descarte de resíduos sólidos, conforme a experiência da equipe técnica, depoimentos de moradores ou registros por imagens aéreas. 
Atributo indireto, ou seja, caso presente área contaminada nos limites da área proposta  para o parque e no seu entorno de 500,00m e que se considere que a presença de tal área contaminada possa interferir na viabilidade de  implantação do parque, neste caso menor a viabilidade de sua implantação. A pontuação é efetuada de acordo com as condições verificadas na fase de diagnóstico de cada parque, da seguinte forma:
• Pontuação (2): Presença de área contaminada com potencial de interferir na viabilidade de implantação do parque; 
• Pontuação (1): Ausência de área contaminada ou presença sem potencial de interferir na viabilidade de implantação do parque.</t>
  </si>
  <si>
    <t>Proporção de área com ocupações irregulares em relação a área do parque, nível de precariedade (tipo de construção, infraestrutura básica e pavimentação). Atributo indireto: quanto maior a área  menor a viabilidade de implantação do parque. (3) Alta Complexidade: &gt; 5% área com ocupações irregulares; (2) Média Complexidade: 1 a 5% área com ocupações irregulares (1) Baixa Complexidade: de 0 a 1 % da área com ocupações irregulares.</t>
  </si>
  <si>
    <r>
      <t>A. Vegetação Nativa</t>
    </r>
    <r>
      <rPr>
        <sz val="10"/>
        <color theme="1"/>
        <rFont val="Calibri"/>
        <family val="2"/>
        <scheme val="minor"/>
      </rPr>
      <t xml:space="preserve">: </t>
    </r>
  </si>
  <si>
    <r>
      <t>B. Área Degradada:</t>
    </r>
    <r>
      <rPr>
        <sz val="11"/>
        <color theme="1"/>
        <rFont val="Calibri"/>
        <family val="2"/>
        <scheme val="minor"/>
      </rPr>
      <t/>
    </r>
  </si>
  <si>
    <r>
      <t>C. Pertencimento</t>
    </r>
    <r>
      <rPr>
        <sz val="10"/>
        <color theme="1"/>
        <rFont val="Calibri"/>
        <family val="2"/>
        <scheme val="minor"/>
      </rPr>
      <t xml:space="preserve">: </t>
    </r>
  </si>
  <si>
    <r>
      <t>Critério Social que apresenta a constatação de ações concretas da comunidade de entorno (horta, parquinho, campo de futebol) na área do parque, presença de ONGs, Associações de Bairro ou líderes comunitários atuantes na região do parque e com demanda para a área ou ausência desses. Atributo direto, ou seja, quanto mais presente e atuante maior viabilidade:</t>
    </r>
    <r>
      <rPr>
        <b/>
        <sz val="10"/>
        <color theme="1"/>
        <rFont val="Calibri"/>
        <family val="2"/>
        <scheme val="minor"/>
      </rPr>
      <t>(3)</t>
    </r>
    <r>
      <rPr>
        <sz val="10"/>
        <color theme="1"/>
        <rFont val="Calibri"/>
        <family val="2"/>
        <scheme val="minor"/>
      </rPr>
      <t xml:space="preserve"> Presença identificada de convívio comunitário forte, demonstrável pela observação de vínculos saudáveis de uso e cuidado da comunidade com a área destinada ao parque, tendo realizado intervenções no espaço tais como: implantação de parque infantil e/ou hortas e/ou jardins comunitários e/ou áreas de lazer e convívio, entre outras intervenções que denotem senso de comunidade significativo, valorização e preservação do espaço comum. </t>
    </r>
    <r>
      <rPr>
        <b/>
        <sz val="10"/>
        <color theme="1"/>
        <rFont val="Calibri"/>
        <family val="2"/>
        <scheme val="minor"/>
      </rPr>
      <t>(2)</t>
    </r>
    <r>
      <rPr>
        <sz val="10"/>
        <color theme="1"/>
        <rFont val="Calibri"/>
        <family val="2"/>
        <scheme val="minor"/>
      </rPr>
      <t xml:space="preserve"> Presença de Organizações da Sociedade Civil (OSC) atuantes e/ou Serviços de Proteção Social vinculados à Secretaria Municipal de Assistência Social de Campinas e/ou Associações ou Comissões de moradores e/ou líderes comunitários com histórico de mobilizações em prol do território e sua população, portanto capazes de assumir compromissos em relação ao parque ou motivadas para fazê-lo. Em Campinas os serviços de proteção social são em grande parte realizados por OSCs cofinanciadas pela Prefeitura Municipal de Campinas e vinculadas à Secretaria Municipal de Assistência Social, que seguindo o Plano Nacional da Assistência Social (PNAS -  mds.gov.br/webarquivos/publicacao/assistencia_social/Normativas/PNAS2004.pdf), tem a seguinte prerrogativa, importante para avaliar o pertencimento da população com relação ao território:
“A segurança de convívio exige a oferta pública de rede continuada de serviços que garantam oportunidades e ação profissional para: 
• construção, restauração e fortalecimento de laços de pertencimento (de natureza geracional, intergeracional, familiar, de vizinhança e interesses comuns e societários); 
• exercício capacitador e qualificador de vínculos sociais e de projetos pessoais e sociais de vida em sociedade.”  
</t>
    </r>
    <r>
      <rPr>
        <b/>
        <sz val="10"/>
        <color theme="1"/>
        <rFont val="Calibri"/>
        <family val="2"/>
        <scheme val="minor"/>
      </rPr>
      <t>(1)</t>
    </r>
    <r>
      <rPr>
        <sz val="10"/>
        <color theme="1"/>
        <rFont val="Calibri"/>
        <family val="2"/>
        <scheme val="minor"/>
      </rPr>
      <t xml:space="preserve"> Escassez ou ausência identificada de ações comunitárias, organizações sociais e serviços de proteção social no entorno da área destinada ao parque.                                                          (Entorno: raio de 500,00m)</t>
    </r>
  </si>
  <si>
    <r>
      <t>D. Consolidação do Entorno</t>
    </r>
    <r>
      <rPr>
        <sz val="10"/>
        <color theme="1"/>
        <rFont val="Calibri"/>
        <family val="2"/>
        <scheme val="minor"/>
      </rPr>
      <t xml:space="preserve">: </t>
    </r>
  </si>
  <si>
    <r>
      <t>E. Obras de Infraestrutura:</t>
    </r>
    <r>
      <rPr>
        <b/>
        <sz val="10"/>
        <color theme="1"/>
        <rFont val="Calibri"/>
        <family val="2"/>
        <scheme val="minor"/>
      </rPr>
      <t xml:space="preserve"> </t>
    </r>
    <r>
      <rPr>
        <sz val="11"/>
        <color theme="1"/>
        <rFont val="Calibri"/>
        <family val="2"/>
        <scheme val="minor"/>
      </rPr>
      <t/>
    </r>
  </si>
  <si>
    <r>
      <t xml:space="preserve">Critério de Engenharia e Infraestrutura que avalia a complexidade das obras de infraestrutura necessárias para implantação do parque, internas e externas, tais como travessias sobre o curso d´água, galerias de águas pluviais, barramentos de controle de cheias, contenção de margens, desassoreamento, obras de saneamento, pavimentação de vias. Na planilha são indicadas a necessidade, ou não, de 3 componentes principais de obras de infraestrutura consideradas mais complexas: 
• a necessidade de obras de infraestrutura básica no entorno, nos casos em que o entorno imediato do parque ou de parte dele ainda não foi parcelado, portanto mantem na condição de gleba sem infraestrutura, ou quando a área já se encontra com ocupação mas desprovida de infraestrutura básica, tais como pavimentação, drenagem, água e esgoto.
• A indicação na PGI de implantação de barramentos do controle de cheia no interior do parque, visando o controle da macrodrenagem na microbacia hidrográfica em questão;
• A necessidade de pavimentação das vias no entorno do parque, em áreas já providas de redes de água e esgotos, mas a implantação adequada do parque depende da concordância com uma via previamente pavimentada no entorno;
Atributo indireto: quanto maior a complexidade das obras menor a viabilidade para implantação do parque (custo). A pontuação é efetuada de acordo com as condições verificadas após a elaboração da PGI e Memorial Justificativo de cada parque, da seguinte forma: 
 </t>
    </r>
    <r>
      <rPr>
        <b/>
        <sz val="10"/>
        <color theme="1"/>
        <rFont val="Calibri"/>
        <family val="2"/>
        <scheme val="minor"/>
      </rPr>
      <t>(3):</t>
    </r>
    <r>
      <rPr>
        <sz val="10"/>
        <color theme="1"/>
        <rFont val="Calibri"/>
        <family val="2"/>
        <scheme val="minor"/>
      </rPr>
      <t xml:space="preserve"> Obras de alta complexidade, ou seja, são necessárias obras de infraestrutura no parque e seu entorno tais como pavimentação de vias, galerias de drenagem pluvial, barramentos de controle de cheias, redes de esgotos, travessias viárias, proteção de margens, entre outras; </t>
    </r>
    <r>
      <rPr>
        <b/>
        <sz val="10"/>
        <color theme="1"/>
        <rFont val="Calibri"/>
        <family val="2"/>
        <scheme val="minor"/>
      </rPr>
      <t xml:space="preserve">(2): </t>
    </r>
    <r>
      <rPr>
        <sz val="10"/>
        <color theme="1"/>
        <rFont val="Calibri"/>
        <family val="2"/>
        <scheme val="minor"/>
      </rPr>
      <t xml:space="preserve">Obras de média complexidade, tais como passarelas para pedestres, pequenos acertos topográficos, ou ainda as obras acima listadas, mas em trechos pontuais, de pequeno porte e de execução simples; 
</t>
    </r>
    <r>
      <rPr>
        <b/>
        <sz val="10"/>
        <color theme="1"/>
        <rFont val="Calibri"/>
        <family val="2"/>
        <scheme val="minor"/>
      </rPr>
      <t xml:space="preserve">(1): </t>
    </r>
    <r>
      <rPr>
        <sz val="10"/>
        <color theme="1"/>
        <rFont val="Calibri"/>
        <family val="2"/>
        <scheme val="minor"/>
      </rPr>
      <t xml:space="preserve">Obras de baixa complexidade, basicamente não sendo necessárias obras significativas além daquelas necessárias à implantação dos equipamentos propostos para o parque em questão.
</t>
    </r>
  </si>
  <si>
    <r>
      <t>F. Mobilidade:</t>
    </r>
    <r>
      <rPr>
        <b/>
        <sz val="10"/>
        <color theme="1"/>
        <rFont val="Calibri"/>
        <family val="2"/>
        <scheme val="minor"/>
      </rPr>
      <t xml:space="preserve"> </t>
    </r>
    <r>
      <rPr>
        <sz val="11"/>
        <color theme="1"/>
        <rFont val="Calibri"/>
        <family val="2"/>
        <scheme val="minor"/>
      </rPr>
      <t/>
    </r>
  </si>
  <si>
    <t xml:space="preserve">Critério de Mobilidade: Avalia os elementos propostos para o parque que oferecem rotas de acesso a equipamentos públicos (Saúde, Educação Lazer, Transporte público), conexões entre as margens do córrego, melhoria nas condições de acesso na escala do pedestre (passeios públicos, travessias, passarelas) ou que oferecem a possibilidade de priorização do pedestre e de veículos não motorizados (via compartilhada, ciclovia, ciclofaixa, ciclorrota). Atributo direto: quanto mais elementos de mobilidade maior a viabilidade de implantação. 
Assim, o critério de Mobilidade é pontuado a partir da análise do Projeto Geral de Implantação proposto para o parque em questão, da seguinte forma:
• Pontuação (3): Nos casos onde há a possibilidade de viabilizar a implantação do maior número de “elementos articuladores”, ou seja, que facilitem ou indiquem o acesso aos equipamentos públicos presentes no entorno do parque e, em ambas as margens, e que também priorizem o uso não motorizado ou o uso do parque pelo pedestre;
• Pontuação (2): Nos casos onde há a possibilidade de viabilizar, em parte do parque ou em alguns equipamentos públicos situados no entorno, a implantação de “elementos articuladores”; 
• Pontuação (1): Nos casos onde a possibilidade de viabilizar a implantação de “elementos articuladores” é pequena ou restrita.
</t>
  </si>
  <si>
    <r>
      <t>G. Ocupação Irregular</t>
    </r>
    <r>
      <rPr>
        <sz val="10"/>
        <color theme="1"/>
        <rFont val="Calibri"/>
        <family val="2"/>
        <scheme val="minor"/>
      </rPr>
      <t xml:space="preserve">: </t>
    </r>
  </si>
  <si>
    <t>Ausência  de Vegetação Nativa</t>
  </si>
  <si>
    <t>Bairro Precário e baixa quantidade ou ausência de equipamentos públicos no parque e entorno. (entorno: raio de 500,00m)</t>
  </si>
  <si>
    <t>(Entorno: raio de 500,00m)</t>
  </si>
  <si>
    <t>Nos casos onde há a possibilidade de viabilizar a implantação do maior número de “elementos articuladores”, ou seja, que facilitem ou indiquem o acesso aos equipamentos públicos presentes no entorno do parque e, em ambas as margens, e que também priorizem o uso não motorizado ou o uso do parque pelo pedestre;</t>
  </si>
  <si>
    <t xml:space="preserve">Nos casos onde há a possibilidade de viabilizar, em parte do parque ou em alguns equipamentos públicos situados no entorno, a implantação de “elementos articuladores”; </t>
  </si>
  <si>
    <t>Nos casos onde a possibilidade de viabilizar a implantação de “elementos articuladores” é pequena ou restrita.</t>
  </si>
  <si>
    <t>Alta Complexidade: &gt; 5% área com ocupações irregulares</t>
  </si>
  <si>
    <t xml:space="preserve">Médioa Complexidade: de 1 a 5% área com ocupações irregulares </t>
  </si>
  <si>
    <t>Baixa Complexidade: de 0 a 1% da área com ocupações irregulares</t>
  </si>
  <si>
    <t xml:space="preserve">Presença de área contaminada com potencial de interferir na viabilidade de implantação do parque; </t>
  </si>
  <si>
    <t>Ausência de área contaminada ou presença sem potencial de interferir na viabilidade de implantação do parque.</t>
  </si>
  <si>
    <t>Banhado</t>
  </si>
  <si>
    <t>Friburgo</t>
  </si>
  <si>
    <t>Galeria</t>
  </si>
  <si>
    <t>Ipaussurama TR 1</t>
  </si>
  <si>
    <t>Mato Dentro</t>
  </si>
  <si>
    <t>Oriente</t>
  </si>
  <si>
    <t>Piçarrão TR 6</t>
  </si>
  <si>
    <t>Ribeirão das Pedras TR 2</t>
  </si>
  <si>
    <t>Ribeirão das Pedras TR 3</t>
  </si>
  <si>
    <t>Terra Preta</t>
  </si>
  <si>
    <t>INICIAL/MÉDIO</t>
  </si>
  <si>
    <t>CRITÉRIO J</t>
  </si>
  <si>
    <t>Fonte: Planta Geral de implantação + Memorial Justficativo</t>
  </si>
  <si>
    <t xml:space="preserve">Fonte: Relatório Descritivo e Mapa Diagnóstico </t>
  </si>
  <si>
    <t>CRITÉRIO ENGENHARIA E INFRAESTRUTURA: E. OBRAS DE INFRAESTRUTURA</t>
  </si>
  <si>
    <t xml:space="preserve">Oriente </t>
  </si>
  <si>
    <t>Área pouco degradada. Ocorrência de 1 elemento de degradação na área ou ausência de elemento de degradação;</t>
  </si>
  <si>
    <t xml:space="preserve">Friburgo </t>
  </si>
  <si>
    <t>Barramento de Controle de Cheia e/ou renaturalização de cursos d´água;</t>
  </si>
  <si>
    <t>Área muito degradada; Ocorrência de 3 ou mais elementos de degradação na área, tais como a presença de erosão significativa, a existência de pontos viciados de descarte de resíduos e de agrupamentos monoespecíficos de espécies invasoras maiores de 100m², por exemplo;</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</si>
</sst>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rgb="FF000000"/>
      <name val="Calibri"/>
      <family val="2"/>
      <charset val="1"/>
    </font>
    <font>
      <sz val="11"/>
      <color theme="1"/>
      <name val="Calibri"/>
      <family val="2"/>
      <scheme val="minor"/>
    </font>
    <font>
      <sz val="11"/>
      <color theme="1"/>
      <name val="Calibri"/>
      <family val="2"/>
      <scheme val="minor"/>
    </font>
    <font>
      <sz val="10"/>
      <color rgb="FF000000"/>
      <name val="Calibri"/>
      <family val="2"/>
      <charset val="1"/>
    </font>
    <font>
      <b/>
      <i/>
      <u/>
      <sz val="14"/>
      <color rgb="FF000000"/>
      <name val="Calibri"/>
      <family val="2"/>
      <charset val="1"/>
    </font>
    <font>
      <b/>
      <sz val="12"/>
      <color rgb="FF000000"/>
      <name val="Calibri"/>
      <family val="2"/>
      <charset val="1"/>
    </font>
    <font>
      <b/>
      <sz val="10"/>
      <color rgb="FF000000"/>
      <name val="Calibri"/>
      <family val="2"/>
      <charset val="1"/>
    </font>
    <font>
      <b/>
      <u/>
      <sz val="10"/>
      <color rgb="FF000000"/>
      <name val="Calibri"/>
      <family val="2"/>
      <charset val="1"/>
    </font>
    <font>
      <sz val="9"/>
      <color rgb="FF000000"/>
      <name val="Calibri"/>
      <family val="2"/>
      <charset val="1"/>
    </font>
    <font>
      <b/>
      <u/>
      <sz val="9"/>
      <color rgb="FF000000"/>
      <name val="Calibri"/>
      <family val="2"/>
      <charset val="1"/>
    </font>
    <font>
      <b/>
      <sz val="9"/>
      <color rgb="FF000000"/>
      <name val="Calibri"/>
      <family val="2"/>
      <charset val="1"/>
    </font>
    <font>
      <sz val="8"/>
      <color rgb="FF000000"/>
      <name val="Calibri"/>
      <family val="2"/>
      <charset val="1"/>
    </font>
    <font>
      <b/>
      <sz val="8"/>
      <name val="Calibri"/>
      <family val="2"/>
      <charset val="1"/>
    </font>
    <font>
      <sz val="8"/>
      <name val="Calibri"/>
      <family val="2"/>
      <charset val="1"/>
    </font>
    <font>
      <b/>
      <sz val="11"/>
      <color rgb="FFFFFFFF"/>
      <name val="Calibri"/>
      <family val="2"/>
      <charset val="1"/>
    </font>
    <font>
      <b/>
      <u/>
      <sz val="12"/>
      <color rgb="FF000000"/>
      <name val="Calibri"/>
      <family val="2"/>
      <charset val="1"/>
    </font>
    <font>
      <sz val="10"/>
      <color rgb="FFFFFFFF"/>
      <name val="Calibri"/>
      <family val="2"/>
      <charset val="1"/>
    </font>
    <font>
      <b/>
      <sz val="10"/>
      <name val="Calibri"/>
      <family val="2"/>
      <charset val="1"/>
    </font>
    <font>
      <b/>
      <sz val="11"/>
      <color rgb="FF000000"/>
      <name val="Calibri"/>
      <family val="2"/>
      <charset val="1"/>
    </font>
    <font>
      <b/>
      <sz val="11"/>
      <name val="Calibri"/>
      <family val="2"/>
      <charset val="1"/>
    </font>
    <font>
      <sz val="9"/>
      <name val="Calibri"/>
      <family val="2"/>
      <charset val="1"/>
    </font>
    <font>
      <sz val="11"/>
      <color rgb="FF000000"/>
      <name val="Calibri"/>
      <family val="2"/>
      <charset val="1"/>
    </font>
    <font>
      <b/>
      <u/>
      <sz val="9"/>
      <color theme="1"/>
      <name val="Calibri"/>
      <family val="2"/>
      <scheme val="minor"/>
    </font>
    <font>
      <b/>
      <sz val="9"/>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b/>
      <i/>
      <u/>
      <sz val="14"/>
      <color theme="1"/>
      <name val="Calibri"/>
      <family val="2"/>
      <scheme val="minor"/>
    </font>
    <font>
      <b/>
      <sz val="12"/>
      <color theme="1"/>
      <name val="Calibri"/>
      <family val="2"/>
      <scheme val="minor"/>
    </font>
    <font>
      <sz val="8"/>
      <name val="Calibri"/>
      <family val="2"/>
    </font>
  </fonts>
  <fills count="10">
    <fill>
      <patternFill patternType="none"/>
    </fill>
    <fill>
      <patternFill patternType="gray125"/>
    </fill>
    <fill>
      <patternFill patternType="solid">
        <fgColor rgb="FFD9D9D9"/>
        <bgColor rgb="FFB4C7E7"/>
      </patternFill>
    </fill>
    <fill>
      <patternFill patternType="solid">
        <fgColor rgb="FFFFFFFF"/>
        <bgColor rgb="FFFFFFCC"/>
      </patternFill>
    </fill>
    <fill>
      <patternFill patternType="solid">
        <fgColor rgb="FFB4C7E7"/>
        <bgColor rgb="FF99CCFF"/>
      </patternFill>
    </fill>
    <fill>
      <patternFill patternType="solid">
        <fgColor rgb="FF2F5597"/>
        <bgColor rgb="FF666699"/>
      </patternFill>
    </fill>
    <fill>
      <patternFill patternType="solid">
        <fgColor rgb="FFFFFF00"/>
        <bgColor rgb="FFFFFF00"/>
      </patternFill>
    </fill>
    <fill>
      <patternFill patternType="solid">
        <fgColor rgb="FFFFC000"/>
        <bgColor rgb="FFFF9900"/>
      </patternFill>
    </fill>
    <fill>
      <patternFill patternType="solid">
        <fgColor theme="0" tint="-0.14999847407452621"/>
        <bgColor indexed="64"/>
      </patternFill>
    </fill>
    <fill>
      <patternFill patternType="solid">
        <fgColor theme="0"/>
        <bgColor indexed="64"/>
      </patternFill>
    </fill>
  </fills>
  <borders count="2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right style="thin">
        <color auto="1"/>
      </right>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1" fillId="0" borderId="0" applyBorder="0" applyProtection="0"/>
    <xf numFmtId="0" fontId="2" fillId="0" borderId="0"/>
    <xf numFmtId="9" fontId="2" fillId="0" borderId="0" applyFont="0" applyFill="0" applyBorder="0" applyAlignment="0" applyProtection="0"/>
  </cellStyleXfs>
  <cellXfs count="171">
    <xf numFmtId="0" fontId="0" fillId="0" borderId="0" xfId="0"/>
    <xf numFmtId="0" fontId="3" fillId="0" borderId="0" xfId="0" applyFont="1"/>
    <xf numFmtId="0" fontId="3" fillId="0" borderId="0" xfId="0" applyFont="1" applyAlignment="1">
      <alignment horizontal="justify" vertical="center"/>
    </xf>
    <xf numFmtId="0" fontId="3" fillId="3" borderId="0" xfId="0" applyFont="1" applyFill="1"/>
    <xf numFmtId="0" fontId="5" fillId="2" borderId="3"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2" xfId="0" applyFont="1" applyFill="1" applyBorder="1" applyAlignment="1">
      <alignment horizontal="center" vertical="center" wrapText="1"/>
    </xf>
    <xf numFmtId="0" fontId="6" fillId="2" borderId="15" xfId="0" applyFont="1" applyFill="1" applyBorder="1" applyAlignment="1">
      <alignment horizontal="center" vertical="center"/>
    </xf>
    <xf numFmtId="0" fontId="0" fillId="0" borderId="0" xfId="0" applyAlignment="1">
      <alignment horizontal="center" vertical="center"/>
    </xf>
    <xf numFmtId="0" fontId="6" fillId="0" borderId="0" xfId="0" applyFont="1"/>
    <xf numFmtId="0" fontId="8" fillId="0" borderId="0" xfId="0" applyFont="1" applyAlignment="1">
      <alignment wrapText="1"/>
    </xf>
    <xf numFmtId="0" fontId="10" fillId="2" borderId="1" xfId="0" applyFont="1" applyFill="1" applyBorder="1" applyAlignment="1">
      <alignment wrapText="1"/>
    </xf>
    <xf numFmtId="0" fontId="11" fillId="4" borderId="1" xfId="0" applyFont="1" applyFill="1" applyBorder="1" applyAlignment="1">
      <alignment horizontal="center" vertical="center"/>
    </xf>
    <xf numFmtId="0" fontId="11" fillId="0" borderId="0" xfId="0" applyFont="1" applyBorder="1" applyAlignment="1">
      <alignment horizontal="center" vertical="center"/>
    </xf>
    <xf numFmtId="0" fontId="11" fillId="4"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0" xfId="0" applyFont="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4" fontId="13" fillId="0" borderId="1" xfId="0" applyNumberFormat="1" applyFont="1" applyBorder="1" applyAlignment="1">
      <alignment horizontal="center" vertical="center"/>
    </xf>
    <xf numFmtId="10" fontId="13" fillId="0" borderId="1" xfId="1" applyNumberFormat="1" applyFont="1" applyBorder="1" applyAlignment="1" applyProtection="1">
      <alignment horizontal="center" vertical="center"/>
    </xf>
    <xf numFmtId="10" fontId="13" fillId="0" borderId="0" xfId="1" applyNumberFormat="1" applyFont="1" applyBorder="1" applyAlignment="1" applyProtection="1">
      <alignment horizontal="center" vertical="center"/>
    </xf>
    <xf numFmtId="0" fontId="11" fillId="0" borderId="1" xfId="0" applyFont="1" applyBorder="1" applyAlignment="1">
      <alignment horizontal="center" vertical="center"/>
    </xf>
    <xf numFmtId="10" fontId="13" fillId="0" borderId="1" xfId="1" applyNumberFormat="1" applyFont="1" applyBorder="1" applyAlignment="1" applyProtection="1">
      <alignment horizontal="center" vertical="center" wrapText="1"/>
    </xf>
    <xf numFmtId="0" fontId="13" fillId="0" borderId="11" xfId="0" applyFont="1" applyBorder="1" applyAlignment="1">
      <alignment horizontal="center" vertical="center"/>
    </xf>
    <xf numFmtId="10" fontId="12" fillId="0" borderId="0" xfId="1" applyNumberFormat="1" applyFont="1" applyBorder="1" applyAlignment="1" applyProtection="1">
      <alignment horizontal="center" vertical="center"/>
    </xf>
    <xf numFmtId="0" fontId="13" fillId="0" borderId="0" xfId="0" applyFont="1" applyBorder="1" applyAlignment="1">
      <alignment horizontal="left" vertical="center"/>
    </xf>
    <xf numFmtId="0" fontId="11" fillId="0" borderId="0" xfId="0" applyFont="1" applyAlignment="1">
      <alignment horizontal="center" vertical="center"/>
    </xf>
    <xf numFmtId="0" fontId="13" fillId="0" borderId="0" xfId="0" applyFont="1" applyBorder="1" applyAlignment="1">
      <alignment vertical="center"/>
    </xf>
    <xf numFmtId="0" fontId="8" fillId="0" borderId="0" xfId="0" applyFont="1"/>
    <xf numFmtId="0" fontId="14" fillId="0" borderId="0" xfId="0" applyFont="1" applyBorder="1" applyAlignment="1">
      <alignment vertical="center" wrapText="1"/>
    </xf>
    <xf numFmtId="0" fontId="8" fillId="0" borderId="1" xfId="0" applyFont="1" applyBorder="1" applyAlignment="1">
      <alignment horizontal="center" vertical="center"/>
    </xf>
    <xf numFmtId="0" fontId="10" fillId="0" borderId="1" xfId="0" applyFont="1" applyBorder="1" applyAlignment="1">
      <alignment horizontal="center" vertical="center"/>
    </xf>
    <xf numFmtId="0" fontId="8" fillId="6" borderId="1" xfId="0" applyFont="1" applyFill="1" applyBorder="1" applyAlignment="1">
      <alignment horizontal="center" vertical="center"/>
    </xf>
    <xf numFmtId="0" fontId="8" fillId="0" borderId="1" xfId="0" applyFont="1" applyBorder="1" applyAlignment="1">
      <alignment horizontal="center" vertical="center"/>
    </xf>
    <xf numFmtId="0" fontId="8" fillId="0" borderId="1" xfId="0" applyFont="1" applyBorder="1"/>
    <xf numFmtId="10" fontId="8" fillId="0" borderId="1" xfId="0" applyNumberFormat="1" applyFont="1" applyBorder="1" applyAlignment="1">
      <alignment horizontal="center" vertical="center"/>
    </xf>
    <xf numFmtId="0" fontId="8" fillId="7" borderId="1" xfId="0" applyFont="1" applyFill="1" applyBorder="1" applyAlignment="1">
      <alignment horizontal="center" vertical="center"/>
    </xf>
    <xf numFmtId="0" fontId="10" fillId="0" borderId="1" xfId="0" applyFont="1" applyBorder="1"/>
    <xf numFmtId="9" fontId="8" fillId="0" borderId="1" xfId="1" applyFont="1" applyBorder="1" applyAlignment="1" applyProtection="1"/>
    <xf numFmtId="0" fontId="8" fillId="0" borderId="0" xfId="0" applyFont="1" applyAlignment="1">
      <alignment horizontal="center" vertical="center"/>
    </xf>
    <xf numFmtId="9" fontId="8" fillId="0" borderId="0" xfId="1" applyFont="1" applyBorder="1" applyAlignment="1" applyProtection="1"/>
    <xf numFmtId="0" fontId="8" fillId="7" borderId="1" xfId="0" applyFont="1" applyFill="1" applyBorder="1"/>
    <xf numFmtId="0" fontId="8" fillId="6" borderId="1" xfId="0" applyFont="1" applyFill="1" applyBorder="1"/>
    <xf numFmtId="0" fontId="0" fillId="0" borderId="0" xfId="0" applyAlignment="1">
      <alignment wrapText="1"/>
    </xf>
    <xf numFmtId="0" fontId="6" fillId="0" borderId="1" xfId="0" applyFont="1" applyBorder="1" applyAlignment="1">
      <alignment horizontal="center" vertical="center" wrapText="1"/>
    </xf>
    <xf numFmtId="0" fontId="6" fillId="0" borderId="17" xfId="0" applyFont="1" applyBorder="1" applyAlignment="1">
      <alignment horizontal="center" vertical="center" wrapText="1"/>
    </xf>
    <xf numFmtId="10" fontId="6" fillId="0" borderId="1" xfId="0" applyNumberFormat="1" applyFont="1" applyBorder="1" applyAlignment="1">
      <alignment horizontal="center" vertical="center" wrapText="1"/>
    </xf>
    <xf numFmtId="10" fontId="6" fillId="0" borderId="17" xfId="0" applyNumberFormat="1" applyFont="1" applyBorder="1" applyAlignment="1">
      <alignment horizontal="center" vertical="center" wrapText="1"/>
    </xf>
    <xf numFmtId="0" fontId="0" fillId="0" borderId="0" xfId="0" applyBorder="1"/>
    <xf numFmtId="0" fontId="14" fillId="5" borderId="18" xfId="0" applyFont="1" applyFill="1" applyBorder="1" applyAlignment="1">
      <alignment horizontal="center" vertical="center" wrapText="1"/>
    </xf>
    <xf numFmtId="0" fontId="14" fillId="5" borderId="19" xfId="0" applyFont="1" applyFill="1" applyBorder="1" applyAlignment="1">
      <alignment horizontal="center" vertical="center" wrapText="1"/>
    </xf>
    <xf numFmtId="0" fontId="14" fillId="5" borderId="20"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xf numFmtId="0" fontId="0" fillId="0" borderId="0" xfId="0" applyAlignment="1">
      <alignment horizontal="center"/>
    </xf>
    <xf numFmtId="0" fontId="18" fillId="2" borderId="1" xfId="0" applyFont="1" applyFill="1" applyBorder="1" applyAlignment="1">
      <alignment horizontal="center" vertical="center"/>
    </xf>
    <xf numFmtId="0" fontId="11" fillId="0" borderId="0" xfId="0" applyFont="1" applyAlignment="1">
      <alignment horizontal="center" vertical="center" wrapText="1"/>
    </xf>
    <xf numFmtId="0" fontId="10" fillId="2" borderId="1" xfId="0" applyFont="1" applyFill="1" applyBorder="1" applyAlignment="1"/>
    <xf numFmtId="10" fontId="0" fillId="0" borderId="0" xfId="0" applyNumberFormat="1" applyBorder="1"/>
    <xf numFmtId="10" fontId="11" fillId="0" borderId="0" xfId="0" applyNumberFormat="1" applyFont="1" applyAlignment="1">
      <alignment horizontal="center" vertical="center"/>
    </xf>
    <xf numFmtId="0" fontId="13" fillId="0" borderId="0" xfId="0" applyFont="1" applyBorder="1" applyAlignment="1">
      <alignment horizontal="center" vertical="center"/>
    </xf>
    <xf numFmtId="0" fontId="11" fillId="0" borderId="0" xfId="0" applyFont="1" applyBorder="1" applyAlignment="1">
      <alignment horizontal="center" vertical="center" wrapText="1"/>
    </xf>
    <xf numFmtId="0" fontId="13" fillId="0" borderId="0" xfId="1" applyNumberFormat="1" applyFont="1" applyBorder="1" applyAlignment="1" applyProtection="1">
      <alignment horizontal="center" vertical="center"/>
    </xf>
    <xf numFmtId="0" fontId="8" fillId="0" borderId="0" xfId="0" applyFont="1" applyBorder="1" applyAlignment="1">
      <alignment horizontal="center" vertical="center"/>
    </xf>
    <xf numFmtId="0" fontId="11" fillId="0" borderId="0" xfId="0" applyFont="1" applyBorder="1" applyAlignment="1">
      <alignment vertical="center" wrapText="1"/>
    </xf>
    <xf numFmtId="0" fontId="13" fillId="0" borderId="0" xfId="0" applyFont="1" applyBorder="1" applyAlignment="1">
      <alignment horizontal="center" vertical="center" wrapText="1"/>
    </xf>
    <xf numFmtId="0" fontId="20" fillId="0" borderId="0" xfId="0" applyFont="1" applyBorder="1" applyAlignment="1">
      <alignment horizontal="center" vertical="center"/>
    </xf>
    <xf numFmtId="10" fontId="20" fillId="0" borderId="0" xfId="1" applyNumberFormat="1" applyFont="1" applyBorder="1" applyAlignment="1" applyProtection="1">
      <alignment horizontal="center" vertical="center"/>
    </xf>
    <xf numFmtId="0" fontId="8" fillId="0" borderId="0" xfId="0" applyFont="1" applyAlignment="1">
      <alignment horizontal="center" vertical="center" wrapText="1"/>
    </xf>
    <xf numFmtId="0" fontId="20" fillId="0" borderId="0" xfId="0" applyFont="1" applyBorder="1" applyAlignment="1">
      <alignment horizontal="center"/>
    </xf>
    <xf numFmtId="0" fontId="8" fillId="0" borderId="0" xfId="0" applyFont="1" applyBorder="1"/>
    <xf numFmtId="0" fontId="20" fillId="0" borderId="0" xfId="1" applyNumberFormat="1" applyFont="1" applyBorder="1" applyAlignment="1" applyProtection="1">
      <alignment horizontal="center" vertical="center"/>
    </xf>
    <xf numFmtId="0" fontId="11" fillId="0" borderId="0" xfId="0" applyFont="1" applyBorder="1" applyAlignment="1">
      <alignment horizontal="center" vertical="center"/>
    </xf>
    <xf numFmtId="0" fontId="27" fillId="0" borderId="7" xfId="2" applyFont="1" applyBorder="1" applyAlignment="1">
      <alignment horizontal="justify" vertical="center"/>
    </xf>
    <xf numFmtId="0" fontId="25" fillId="0" borderId="7" xfId="2" applyFont="1" applyBorder="1" applyAlignment="1">
      <alignment horizontal="center" vertical="center"/>
    </xf>
    <xf numFmtId="0" fontId="25" fillId="0" borderId="11" xfId="2" applyFont="1" applyBorder="1" applyAlignment="1">
      <alignment horizontal="justify" vertical="center"/>
    </xf>
    <xf numFmtId="0" fontId="25" fillId="0" borderId="11" xfId="2" applyFont="1" applyBorder="1" applyAlignment="1">
      <alignment horizontal="justify" vertical="center" wrapText="1"/>
    </xf>
    <xf numFmtId="0" fontId="25" fillId="0" borderId="0" xfId="2" applyFont="1" applyAlignment="1">
      <alignment horizontal="center" vertical="center"/>
    </xf>
    <xf numFmtId="0" fontId="25" fillId="0" borderId="13" xfId="2" applyFont="1" applyBorder="1" applyAlignment="1">
      <alignment horizontal="justify" vertical="center"/>
    </xf>
    <xf numFmtId="0" fontId="25" fillId="0" borderId="13" xfId="2" applyFont="1" applyBorder="1" applyAlignment="1">
      <alignment horizontal="justify" vertical="center" wrapText="1"/>
    </xf>
    <xf numFmtId="0" fontId="27" fillId="0" borderId="7" xfId="2" applyFont="1" applyBorder="1" applyAlignment="1">
      <alignment horizontal="left" vertical="center"/>
    </xf>
    <xf numFmtId="0" fontId="26" fillId="0" borderId="13" xfId="2" applyFont="1" applyBorder="1" applyAlignment="1">
      <alignment horizontal="justify" vertical="center"/>
    </xf>
    <xf numFmtId="0" fontId="25" fillId="0" borderId="10" xfId="2" applyFont="1" applyBorder="1" applyAlignment="1">
      <alignment horizontal="center" vertical="center" wrapText="1"/>
    </xf>
    <xf numFmtId="0" fontId="27" fillId="0" borderId="5" xfId="2" applyFont="1" applyBorder="1" applyAlignment="1">
      <alignment horizontal="justify" vertical="center"/>
    </xf>
    <xf numFmtId="0" fontId="27" fillId="0" borderId="8" xfId="2" applyFont="1" applyBorder="1" applyAlignment="1">
      <alignment horizontal="justify" vertical="center"/>
    </xf>
    <xf numFmtId="0" fontId="25" fillId="0" borderId="6" xfId="2" applyFont="1" applyFill="1" applyBorder="1" applyAlignment="1">
      <alignment horizontal="justify" vertical="center" wrapText="1"/>
    </xf>
    <xf numFmtId="0" fontId="25" fillId="0" borderId="9" xfId="2" applyFont="1" applyFill="1" applyBorder="1" applyAlignment="1">
      <alignment horizontal="justify" vertical="center" wrapText="1"/>
    </xf>
    <xf numFmtId="0" fontId="25" fillId="0" borderId="6" xfId="2" applyFont="1" applyFill="1" applyBorder="1" applyAlignment="1">
      <alignment horizontal="left" vertical="center" wrapText="1"/>
    </xf>
    <xf numFmtId="0" fontId="28" fillId="9" borderId="2" xfId="2" applyFont="1" applyFill="1" applyBorder="1" applyAlignment="1">
      <alignment horizontal="center" wrapText="1"/>
    </xf>
    <xf numFmtId="0" fontId="29" fillId="8" borderId="3" xfId="2" applyFont="1" applyFill="1" applyBorder="1" applyAlignment="1">
      <alignment horizontal="center" vertical="center"/>
    </xf>
    <xf numFmtId="0" fontId="25" fillId="0" borderId="6" xfId="2" applyFont="1" applyBorder="1" applyAlignment="1">
      <alignment horizontal="justify" vertical="center" wrapText="1"/>
    </xf>
    <xf numFmtId="0" fontId="25" fillId="0" borderId="10" xfId="2" applyFont="1" applyBorder="1" applyAlignment="1">
      <alignment horizontal="center" vertical="center"/>
    </xf>
    <xf numFmtId="0" fontId="27" fillId="0" borderId="10" xfId="2" applyFont="1" applyBorder="1" applyAlignment="1">
      <alignment horizontal="justify" vertical="center"/>
    </xf>
    <xf numFmtId="0" fontId="27" fillId="0" borderId="12" xfId="2" applyFont="1" applyBorder="1" applyAlignment="1">
      <alignment horizontal="justify" vertical="center"/>
    </xf>
    <xf numFmtId="0" fontId="25" fillId="0" borderId="14" xfId="2" applyFont="1" applyFill="1" applyBorder="1" applyAlignment="1">
      <alignment horizontal="justify" vertical="center" wrapText="1"/>
    </xf>
    <xf numFmtId="0" fontId="25" fillId="0" borderId="12" xfId="2" applyFont="1" applyBorder="1" applyAlignment="1">
      <alignment horizontal="center" vertical="center"/>
    </xf>
    <xf numFmtId="0" fontId="22" fillId="8" borderId="1" xfId="2" applyFont="1" applyFill="1" applyBorder="1" applyAlignment="1">
      <alignment horizontal="center" wrapText="1"/>
    </xf>
    <xf numFmtId="0" fontId="22" fillId="8" borderId="1" xfId="2" applyFont="1" applyFill="1" applyBorder="1" applyAlignment="1">
      <alignment horizontal="left" wrapText="1"/>
    </xf>
    <xf numFmtId="0" fontId="23" fillId="8" borderId="1" xfId="2" applyFont="1" applyFill="1" applyBorder="1" applyAlignment="1">
      <alignment horizontal="center" vertical="center" wrapText="1"/>
    </xf>
    <xf numFmtId="0" fontId="23" fillId="8" borderId="1" xfId="2" applyFont="1" applyFill="1" applyBorder="1" applyAlignment="1">
      <alignment wrapText="1"/>
    </xf>
    <xf numFmtId="0" fontId="24" fillId="0" borderId="1" xfId="2" applyFont="1" applyBorder="1" applyAlignment="1">
      <alignment horizontal="center" vertical="center" wrapText="1"/>
    </xf>
    <xf numFmtId="0" fontId="24" fillId="0" borderId="1" xfId="2" applyFont="1" applyFill="1" applyBorder="1" applyAlignment="1">
      <alignment horizontal="center" vertical="center" wrapText="1"/>
    </xf>
    <xf numFmtId="0" fontId="24" fillId="8" borderId="1" xfId="2" applyFont="1" applyFill="1" applyBorder="1" applyAlignment="1">
      <alignment wrapText="1"/>
    </xf>
    <xf numFmtId="0" fontId="24" fillId="0" borderId="1" xfId="2" applyFont="1" applyFill="1" applyBorder="1" applyAlignment="1">
      <alignment wrapText="1"/>
    </xf>
    <xf numFmtId="0" fontId="24" fillId="0" borderId="1" xfId="2" applyFont="1" applyFill="1" applyBorder="1" applyAlignment="1">
      <alignment horizontal="left" vertical="center" wrapText="1"/>
    </xf>
    <xf numFmtId="0" fontId="24" fillId="0" borderId="1" xfId="2" applyFont="1" applyFill="1" applyBorder="1" applyAlignment="1">
      <alignment horizontal="left" wrapText="1"/>
    </xf>
    <xf numFmtId="0" fontId="24" fillId="0" borderId="1" xfId="2" applyFont="1" applyFill="1" applyBorder="1" applyAlignment="1">
      <alignment vertical="center" wrapText="1"/>
    </xf>
    <xf numFmtId="0" fontId="0" fillId="0" borderId="0" xfId="0" applyFill="1"/>
    <xf numFmtId="10" fontId="13" fillId="0" borderId="0" xfId="1" applyNumberFormat="1" applyFont="1" applyFill="1" applyBorder="1" applyAlignment="1" applyProtection="1">
      <alignment horizontal="center" vertical="center"/>
    </xf>
    <xf numFmtId="0" fontId="13" fillId="0" borderId="1" xfId="0" applyFont="1" applyFill="1" applyBorder="1" applyAlignment="1">
      <alignment horizontal="center" vertical="center"/>
    </xf>
    <xf numFmtId="4"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xf>
    <xf numFmtId="10" fontId="13" fillId="0" borderId="1" xfId="1" applyNumberFormat="1" applyFont="1" applyFill="1" applyBorder="1" applyAlignment="1" applyProtection="1">
      <alignment horizontal="center" vertical="center"/>
    </xf>
    <xf numFmtId="0" fontId="13" fillId="0" borderId="11" xfId="0" applyFont="1" applyFill="1" applyBorder="1" applyAlignment="1">
      <alignment horizontal="center" vertical="center"/>
    </xf>
    <xf numFmtId="0" fontId="12" fillId="0" borderId="1" xfId="0" applyFont="1" applyFill="1" applyBorder="1" applyAlignment="1">
      <alignment horizontal="center" vertical="center"/>
    </xf>
    <xf numFmtId="4" fontId="12" fillId="0" borderId="1" xfId="0" applyNumberFormat="1" applyFont="1" applyFill="1" applyBorder="1" applyAlignment="1">
      <alignment horizontal="center" vertical="center" wrapText="1"/>
    </xf>
    <xf numFmtId="4" fontId="12" fillId="0" borderId="1" xfId="0" applyNumberFormat="1" applyFont="1" applyFill="1" applyBorder="1" applyAlignment="1">
      <alignment horizontal="center" vertical="center"/>
    </xf>
    <xf numFmtId="10" fontId="12" fillId="0" borderId="1" xfId="1" applyNumberFormat="1"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10" fontId="13" fillId="0" borderId="1" xfId="1" applyNumberFormat="1" applyFont="1" applyFill="1" applyBorder="1" applyAlignment="1" applyProtection="1">
      <alignment horizontal="center" vertical="center" wrapText="1"/>
    </xf>
    <xf numFmtId="2" fontId="13" fillId="0" borderId="1" xfId="0" applyNumberFormat="1" applyFont="1" applyFill="1" applyBorder="1" applyAlignment="1">
      <alignment horizontal="center" vertical="center"/>
    </xf>
    <xf numFmtId="0" fontId="0" fillId="0" borderId="1" xfId="0" applyFill="1" applyBorder="1"/>
    <xf numFmtId="4" fontId="11" fillId="0" borderId="1" xfId="0" applyNumberFormat="1" applyFont="1" applyFill="1" applyBorder="1" applyAlignment="1">
      <alignment horizontal="center" vertical="center" wrapText="1"/>
    </xf>
    <xf numFmtId="10" fontId="11" fillId="0" borderId="1" xfId="1" applyNumberFormat="1" applyFont="1" applyFill="1" applyBorder="1" applyAlignment="1" applyProtection="1">
      <alignment horizontal="center" vertical="center"/>
    </xf>
    <xf numFmtId="4" fontId="13" fillId="0" borderId="1" xfId="0" applyNumberFormat="1" applyFont="1" applyFill="1" applyBorder="1" applyAlignment="1">
      <alignment horizontal="right" vertical="center"/>
    </xf>
    <xf numFmtId="10" fontId="11" fillId="0" borderId="1" xfId="1" applyNumberFormat="1" applyFont="1" applyFill="1" applyBorder="1" applyAlignment="1" applyProtection="1">
      <alignment horizontal="center" wrapText="1"/>
    </xf>
    <xf numFmtId="10" fontId="11" fillId="0" borderId="1" xfId="0" applyNumberFormat="1" applyFont="1" applyFill="1" applyBorder="1" applyAlignment="1">
      <alignment horizontal="center" wrapText="1"/>
    </xf>
    <xf numFmtId="10" fontId="11" fillId="0" borderId="1" xfId="0" applyNumberFormat="1" applyFont="1" applyFill="1" applyBorder="1" applyAlignment="1">
      <alignment horizontal="center" vertical="center" wrapText="1"/>
    </xf>
    <xf numFmtId="10" fontId="13" fillId="0" borderId="0" xfId="1" applyNumberFormat="1" applyFont="1" applyFill="1" applyBorder="1" applyAlignment="1" applyProtection="1">
      <alignment horizontal="left" vertical="center"/>
    </xf>
    <xf numFmtId="0" fontId="4" fillId="2" borderId="1"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2" xfId="0" applyFont="1" applyFill="1" applyBorder="1" applyAlignment="1">
      <alignment horizontal="center" vertical="center"/>
    </xf>
    <xf numFmtId="0" fontId="28" fillId="8" borderId="1" xfId="2" applyFont="1" applyFill="1" applyBorder="1" applyAlignment="1">
      <alignment horizontal="center" wrapText="1"/>
    </xf>
    <xf numFmtId="0" fontId="22" fillId="0" borderId="2" xfId="2" applyFont="1" applyBorder="1" applyAlignment="1">
      <alignment horizontal="center" wrapText="1"/>
    </xf>
    <xf numFmtId="0" fontId="11" fillId="4" borderId="1" xfId="0" applyFont="1" applyFill="1" applyBorder="1" applyAlignment="1">
      <alignment horizontal="left" vertical="center" wrapText="1"/>
    </xf>
    <xf numFmtId="0" fontId="11" fillId="4" borderId="1" xfId="0" applyFont="1" applyFill="1" applyBorder="1" applyAlignment="1">
      <alignment horizontal="center" vertical="center"/>
    </xf>
    <xf numFmtId="0" fontId="11" fillId="4" borderId="1" xfId="0" applyFont="1" applyFill="1" applyBorder="1" applyAlignment="1">
      <alignment horizontal="center" vertical="center" wrapText="1"/>
    </xf>
    <xf numFmtId="0" fontId="13" fillId="0" borderId="1" xfId="0" applyFont="1" applyBorder="1" applyAlignment="1">
      <alignment horizontal="left" vertical="center"/>
    </xf>
    <xf numFmtId="0" fontId="13" fillId="0" borderId="17" xfId="0" applyFont="1" applyBorder="1" applyAlignment="1">
      <alignment horizontal="left" vertical="center"/>
    </xf>
    <xf numFmtId="0" fontId="13" fillId="0" borderId="21" xfId="0" applyFont="1" applyBorder="1" applyAlignment="1">
      <alignment horizontal="left" vertical="center"/>
    </xf>
    <xf numFmtId="0" fontId="13" fillId="0" borderId="22" xfId="0" applyFont="1" applyBorder="1" applyAlignment="1">
      <alignment horizontal="left" vertical="center"/>
    </xf>
    <xf numFmtId="0" fontId="11" fillId="4" borderId="1" xfId="0" applyFont="1" applyFill="1" applyBorder="1" applyAlignment="1">
      <alignment horizontal="left" vertical="center"/>
    </xf>
    <xf numFmtId="0" fontId="13" fillId="0" borderId="1" xfId="0" applyFont="1" applyBorder="1" applyAlignment="1">
      <alignment horizontal="left" vertical="center" wrapText="1"/>
    </xf>
    <xf numFmtId="0" fontId="13" fillId="0" borderId="1" xfId="0" applyFont="1" applyFill="1" applyBorder="1" applyAlignment="1">
      <alignment horizontal="left" vertical="center"/>
    </xf>
    <xf numFmtId="0" fontId="11" fillId="4" borderId="17" xfId="0" applyFont="1" applyFill="1" applyBorder="1" applyAlignment="1">
      <alignment horizontal="center" vertical="center" wrapText="1"/>
    </xf>
    <xf numFmtId="0" fontId="11" fillId="0" borderId="0" xfId="0" applyFont="1" applyBorder="1" applyAlignment="1">
      <alignment horizontal="center" vertical="center"/>
    </xf>
    <xf numFmtId="0" fontId="15" fillId="0" borderId="1" xfId="0" applyFont="1" applyBorder="1" applyAlignment="1">
      <alignment horizontal="center"/>
    </xf>
    <xf numFmtId="0" fontId="16" fillId="5" borderId="1" xfId="0" applyFont="1" applyFill="1" applyBorder="1" applyAlignment="1">
      <alignment horizontal="center" vertical="center" wrapText="1"/>
    </xf>
    <xf numFmtId="0" fontId="14" fillId="5" borderId="1" xfId="0" applyFont="1" applyFill="1" applyBorder="1" applyAlignment="1">
      <alignment horizontal="center" vertical="center"/>
    </xf>
    <xf numFmtId="0" fontId="7" fillId="0" borderId="17" xfId="0" applyFont="1" applyBorder="1" applyAlignment="1">
      <alignment horizontal="center" wrapText="1"/>
    </xf>
    <xf numFmtId="0" fontId="8" fillId="0" borderId="1" xfId="0" applyFont="1" applyBorder="1" applyAlignment="1">
      <alignment horizontal="left"/>
    </xf>
    <xf numFmtId="0" fontId="14" fillId="5" borderId="1" xfId="0" applyFont="1" applyFill="1" applyBorder="1" applyAlignment="1">
      <alignment horizontal="center" vertical="center" wrapText="1"/>
    </xf>
    <xf numFmtId="0" fontId="14" fillId="5" borderId="1" xfId="0" applyFont="1" applyFill="1" applyBorder="1" applyAlignment="1">
      <alignment horizontal="left" vertical="center" wrapText="1"/>
    </xf>
    <xf numFmtId="0" fontId="9" fillId="2" borderId="1" xfId="0" applyFont="1" applyFill="1" applyBorder="1" applyAlignment="1">
      <alignment horizontal="center"/>
    </xf>
    <xf numFmtId="0" fontId="13" fillId="0" borderId="3" xfId="0" applyFont="1" applyFill="1" applyBorder="1" applyAlignment="1">
      <alignment horizontal="center" vertical="center"/>
    </xf>
    <xf numFmtId="0" fontId="11" fillId="0" borderId="3" xfId="0" applyFont="1" applyFill="1" applyBorder="1" applyAlignment="1">
      <alignment horizontal="center" vertical="center"/>
    </xf>
    <xf numFmtId="0" fontId="0" fillId="0" borderId="3" xfId="0" applyFill="1" applyBorder="1"/>
    <xf numFmtId="4" fontId="13" fillId="0" borderId="3" xfId="0" applyNumberFormat="1" applyFont="1" applyFill="1" applyBorder="1" applyAlignment="1">
      <alignment horizontal="center" vertical="center" wrapText="1"/>
    </xf>
    <xf numFmtId="10" fontId="13" fillId="0" borderId="3" xfId="1" applyNumberFormat="1" applyFont="1" applyFill="1" applyBorder="1" applyAlignment="1" applyProtection="1">
      <alignment horizontal="center" vertical="center" wrapText="1"/>
    </xf>
    <xf numFmtId="0" fontId="17" fillId="0" borderId="1" xfId="0" applyFont="1" applyFill="1" applyBorder="1" applyAlignment="1">
      <alignment horizontal="center" vertical="center"/>
    </xf>
    <xf numFmtId="10" fontId="18" fillId="0" borderId="1" xfId="0" applyNumberFormat="1" applyFont="1" applyFill="1" applyBorder="1" applyAlignment="1">
      <alignment horizontal="center"/>
    </xf>
    <xf numFmtId="0" fontId="19" fillId="0" borderId="1" xfId="0" applyFont="1" applyFill="1" applyBorder="1" applyAlignment="1">
      <alignment horizontal="center" vertical="center"/>
    </xf>
    <xf numFmtId="10" fontId="12" fillId="0" borderId="1" xfId="0" applyNumberFormat="1" applyFont="1" applyFill="1" applyBorder="1" applyAlignment="1">
      <alignment horizontal="center" vertical="center"/>
    </xf>
    <xf numFmtId="0" fontId="30" fillId="0" borderId="1" xfId="0" applyFont="1" applyFill="1" applyBorder="1" applyAlignment="1">
      <alignment horizontal="center" vertical="center"/>
    </xf>
    <xf numFmtId="0" fontId="17" fillId="0" borderId="0" xfId="0" applyFont="1" applyBorder="1" applyAlignment="1">
      <alignment horizontal="center" vertical="center"/>
    </xf>
    <xf numFmtId="10" fontId="18" fillId="0" borderId="0" xfId="0" applyNumberFormat="1" applyFont="1" applyBorder="1" applyAlignment="1">
      <alignment horizontal="center"/>
    </xf>
    <xf numFmtId="0" fontId="19" fillId="0" borderId="0" xfId="0" applyFont="1" applyBorder="1" applyAlignment="1">
      <alignment horizontal="center" vertical="center"/>
    </xf>
  </cellXfs>
  <cellStyles count="4">
    <cellStyle name="Normal" xfId="0" builtinId="0"/>
    <cellStyle name="Normal 2" xfId="2"/>
    <cellStyle name="Porcentagem" xfId="1" builtinId="5"/>
    <cellStyle name="Porcentagem 2" xf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390960</xdr:colOff>
      <xdr:row>16</xdr:row>
      <xdr:rowOff>104760</xdr:rowOff>
    </xdr:from>
    <xdr:to>
      <xdr:col>13</xdr:col>
      <xdr:colOff>1216440</xdr:colOff>
      <xdr:row>28</xdr:row>
      <xdr:rowOff>28440</xdr:rowOff>
    </xdr:to>
    <xdr:pic>
      <xdr:nvPicPr>
        <xdr:cNvPr id="2" name="Imagem 1">
          <a:extLst>
            <a:ext uri="{FF2B5EF4-FFF2-40B4-BE49-F238E27FC236}">
              <a16:creationId xmlns="" xmlns:a16="http://schemas.microsoft.com/office/drawing/2014/main" id="{00000000-0008-0000-0300-000002000000}"/>
            </a:ext>
          </a:extLst>
        </xdr:cNvPr>
        <xdr:cNvPicPr/>
      </xdr:nvPicPr>
      <xdr:blipFill>
        <a:blip xmlns:r="http://schemas.openxmlformats.org/officeDocument/2006/relationships" r:embed="rId1"/>
        <a:srcRect l="10625" t="32511" r="29177" b="21217"/>
        <a:stretch/>
      </xdr:blipFill>
      <xdr:spPr>
        <a:xfrm>
          <a:off x="5821200" y="3079080"/>
          <a:ext cx="5359320" cy="2209680"/>
        </a:xfrm>
        <a:prstGeom prst="rect">
          <a:avLst/>
        </a:prstGeom>
        <a:ln>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topLeftCell="B7" zoomScaleNormal="100" workbookViewId="0">
      <selection activeCell="C5" sqref="C5"/>
    </sheetView>
  </sheetViews>
  <sheetFormatPr defaultColWidth="8.28515625" defaultRowHeight="15" x14ac:dyDescent="0.25"/>
  <cols>
    <col min="1" max="1" width="36.140625" style="1" hidden="1" customWidth="1"/>
    <col min="2" max="2" width="28.85546875" style="1" customWidth="1"/>
    <col min="3" max="3" width="147.28515625" style="2" customWidth="1"/>
    <col min="4" max="4" width="34.28515625" style="1" customWidth="1"/>
  </cols>
  <sheetData>
    <row r="1" spans="1:4" ht="18.75" customHeight="1" x14ac:dyDescent="0.25">
      <c r="A1" s="133" t="s">
        <v>0</v>
      </c>
      <c r="B1" s="136" t="s">
        <v>1</v>
      </c>
      <c r="C1" s="136"/>
      <c r="D1" s="136"/>
    </row>
    <row r="2" spans="1:4" ht="15" customHeight="1" x14ac:dyDescent="0.25">
      <c r="A2" s="133"/>
      <c r="B2" s="136"/>
      <c r="C2" s="136"/>
      <c r="D2" s="136"/>
    </row>
    <row r="3" spans="1:4" ht="15" customHeight="1" x14ac:dyDescent="0.3">
      <c r="A3" s="3"/>
      <c r="B3" s="91"/>
      <c r="C3" s="91"/>
      <c r="D3" s="91"/>
    </row>
    <row r="4" spans="1:4" ht="15" customHeight="1" thickBot="1" x14ac:dyDescent="0.3">
      <c r="A4" s="4" t="s">
        <v>2</v>
      </c>
      <c r="B4" s="92" t="s">
        <v>3</v>
      </c>
      <c r="C4" s="92" t="s">
        <v>4</v>
      </c>
      <c r="D4" s="92" t="s">
        <v>5</v>
      </c>
    </row>
    <row r="5" spans="1:4" ht="133.5" customHeight="1" thickBot="1" x14ac:dyDescent="0.3">
      <c r="A5" s="134" t="s">
        <v>6</v>
      </c>
      <c r="B5" s="86" t="s">
        <v>152</v>
      </c>
      <c r="C5" s="93" t="s">
        <v>7</v>
      </c>
      <c r="D5" s="77" t="s">
        <v>8</v>
      </c>
    </row>
    <row r="6" spans="1:4" ht="333.75" customHeight="1" thickBot="1" x14ac:dyDescent="0.3">
      <c r="A6" s="134"/>
      <c r="B6" s="87" t="s">
        <v>153</v>
      </c>
      <c r="C6" s="89" t="s">
        <v>9</v>
      </c>
      <c r="D6" s="94" t="s">
        <v>10</v>
      </c>
    </row>
    <row r="7" spans="1:4" ht="15" customHeight="1" thickBot="1" x14ac:dyDescent="0.3">
      <c r="B7" s="78"/>
      <c r="C7" s="79"/>
      <c r="D7" s="80"/>
    </row>
    <row r="8" spans="1:4" ht="259.5" customHeight="1" thickBot="1" x14ac:dyDescent="0.3">
      <c r="A8" s="135" t="s">
        <v>11</v>
      </c>
      <c r="B8" s="76" t="s">
        <v>154</v>
      </c>
      <c r="C8" s="88" t="s">
        <v>155</v>
      </c>
      <c r="D8" s="77" t="s">
        <v>8</v>
      </c>
    </row>
    <row r="9" spans="1:4" ht="105.75" customHeight="1" thickBot="1" x14ac:dyDescent="0.3">
      <c r="A9" s="135"/>
      <c r="B9" s="95" t="s">
        <v>156</v>
      </c>
      <c r="C9" s="89" t="s">
        <v>12</v>
      </c>
      <c r="D9" s="94" t="s">
        <v>8</v>
      </c>
    </row>
    <row r="10" spans="1:4" ht="15.75" thickBot="1" x14ac:dyDescent="0.3">
      <c r="B10" s="81"/>
      <c r="C10" s="82"/>
      <c r="D10" s="80"/>
    </row>
    <row r="11" spans="1:4" ht="375" customHeight="1" thickBot="1" x14ac:dyDescent="0.3">
      <c r="A11" s="6" t="s">
        <v>13</v>
      </c>
      <c r="B11" s="96" t="s">
        <v>157</v>
      </c>
      <c r="C11" s="97" t="s">
        <v>158</v>
      </c>
      <c r="D11" s="98" t="s">
        <v>10</v>
      </c>
    </row>
    <row r="12" spans="1:4" ht="15" customHeight="1" thickBot="1" x14ac:dyDescent="0.3">
      <c r="B12" s="81"/>
      <c r="C12" s="79"/>
      <c r="D12" s="80"/>
    </row>
    <row r="13" spans="1:4" s="8" customFormat="1" ht="166.5" customHeight="1" x14ac:dyDescent="0.25">
      <c r="A13" s="7" t="s">
        <v>14</v>
      </c>
      <c r="B13" s="83" t="s">
        <v>159</v>
      </c>
      <c r="C13" s="90" t="s">
        <v>160</v>
      </c>
      <c r="D13" s="77" t="s">
        <v>8</v>
      </c>
    </row>
    <row r="14" spans="1:4" ht="15" customHeight="1" thickBot="1" x14ac:dyDescent="0.3">
      <c r="B14" s="84"/>
      <c r="C14" s="82"/>
      <c r="D14" s="80"/>
    </row>
    <row r="15" spans="1:4" ht="99" customHeight="1" thickBot="1" x14ac:dyDescent="0.3">
      <c r="A15" s="135" t="s">
        <v>15</v>
      </c>
      <c r="B15" s="86" t="s">
        <v>161</v>
      </c>
      <c r="C15" s="88" t="s">
        <v>151</v>
      </c>
      <c r="D15" s="77" t="s">
        <v>10</v>
      </c>
    </row>
    <row r="16" spans="1:4" ht="58.5" customHeight="1" thickBot="1" x14ac:dyDescent="0.3">
      <c r="A16" s="135"/>
      <c r="B16" s="87" t="s">
        <v>16</v>
      </c>
      <c r="C16" s="89" t="s">
        <v>17</v>
      </c>
      <c r="D16" s="85" t="s">
        <v>8</v>
      </c>
    </row>
    <row r="17" spans="1:4" ht="107.25" customHeight="1" thickBot="1" x14ac:dyDescent="0.3">
      <c r="A17" s="135"/>
      <c r="B17" s="87" t="s">
        <v>18</v>
      </c>
      <c r="C17" s="89" t="s">
        <v>150</v>
      </c>
      <c r="D17" s="85" t="s">
        <v>10</v>
      </c>
    </row>
    <row r="18" spans="1:4" ht="57.75" customHeight="1" thickBot="1" x14ac:dyDescent="0.3">
      <c r="A18" s="5" t="s">
        <v>19</v>
      </c>
      <c r="B18" s="87" t="s">
        <v>20</v>
      </c>
      <c r="C18" s="89" t="s">
        <v>21</v>
      </c>
      <c r="D18" s="85" t="s">
        <v>10</v>
      </c>
    </row>
    <row r="21" spans="1:4" x14ac:dyDescent="0.25">
      <c r="B21" s="9"/>
    </row>
  </sheetData>
  <mergeCells count="5">
    <mergeCell ref="A1:A2"/>
    <mergeCell ref="A5:A6"/>
    <mergeCell ref="A8:A9"/>
    <mergeCell ref="A15:A17"/>
    <mergeCell ref="B1:D2"/>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topLeftCell="A19" zoomScale="130" zoomScaleNormal="130" workbookViewId="0">
      <selection activeCell="B25" sqref="B25"/>
    </sheetView>
  </sheetViews>
  <sheetFormatPr defaultColWidth="8.28515625" defaultRowHeight="15" x14ac:dyDescent="0.25"/>
  <cols>
    <col min="1" max="1" width="11.42578125" style="10" customWidth="1"/>
    <col min="2" max="2" width="95" style="10" customWidth="1"/>
  </cols>
  <sheetData>
    <row r="1" spans="1:2" ht="15" customHeight="1" x14ac:dyDescent="0.25">
      <c r="A1" s="137" t="s">
        <v>22</v>
      </c>
      <c r="B1" s="137"/>
    </row>
    <row r="2" spans="1:2" x14ac:dyDescent="0.25">
      <c r="A2" s="99"/>
      <c r="B2" s="100" t="s">
        <v>23</v>
      </c>
    </row>
    <row r="3" spans="1:2" x14ac:dyDescent="0.25">
      <c r="A3" s="101" t="s">
        <v>24</v>
      </c>
      <c r="B3" s="102" t="s">
        <v>25</v>
      </c>
    </row>
    <row r="4" spans="1:2" x14ac:dyDescent="0.25">
      <c r="A4" s="104">
        <v>5</v>
      </c>
      <c r="B4" s="106" t="s">
        <v>26</v>
      </c>
    </row>
    <row r="5" spans="1:2" x14ac:dyDescent="0.25">
      <c r="A5" s="104">
        <v>4</v>
      </c>
      <c r="B5" s="106" t="s">
        <v>27</v>
      </c>
    </row>
    <row r="6" spans="1:2" x14ac:dyDescent="0.25">
      <c r="A6" s="104">
        <v>3</v>
      </c>
      <c r="B6" s="106" t="s">
        <v>28</v>
      </c>
    </row>
    <row r="7" spans="1:2" x14ac:dyDescent="0.25">
      <c r="A7" s="104">
        <v>2</v>
      </c>
      <c r="B7" s="106" t="s">
        <v>29</v>
      </c>
    </row>
    <row r="8" spans="1:2" x14ac:dyDescent="0.25">
      <c r="A8" s="104">
        <v>1</v>
      </c>
      <c r="B8" s="106" t="s">
        <v>162</v>
      </c>
    </row>
    <row r="9" spans="1:2" x14ac:dyDescent="0.25">
      <c r="A9" s="101" t="s">
        <v>24</v>
      </c>
      <c r="B9" s="102" t="s">
        <v>30</v>
      </c>
    </row>
    <row r="10" spans="1:2" ht="36.75" x14ac:dyDescent="0.25">
      <c r="A10" s="104">
        <v>3</v>
      </c>
      <c r="B10" s="106" t="s">
        <v>192</v>
      </c>
    </row>
    <row r="11" spans="1:2" x14ac:dyDescent="0.25">
      <c r="A11" s="104">
        <v>2</v>
      </c>
      <c r="B11" s="106" t="s">
        <v>31</v>
      </c>
    </row>
    <row r="12" spans="1:2" x14ac:dyDescent="0.25">
      <c r="A12" s="104">
        <v>1</v>
      </c>
      <c r="B12" s="106" t="s">
        <v>189</v>
      </c>
    </row>
    <row r="13" spans="1:2" x14ac:dyDescent="0.25">
      <c r="A13" s="105"/>
      <c r="B13" s="100" t="s">
        <v>32</v>
      </c>
    </row>
    <row r="14" spans="1:2" x14ac:dyDescent="0.25">
      <c r="A14" s="101" t="s">
        <v>24</v>
      </c>
      <c r="B14" s="102" t="s">
        <v>33</v>
      </c>
    </row>
    <row r="15" spans="1:2" ht="48.75" x14ac:dyDescent="0.25">
      <c r="A15" s="103">
        <v>3</v>
      </c>
      <c r="B15" s="106" t="s">
        <v>34</v>
      </c>
    </row>
    <row r="16" spans="1:2" ht="48" x14ac:dyDescent="0.25">
      <c r="A16" s="103">
        <v>2</v>
      </c>
      <c r="B16" s="107" t="s">
        <v>35</v>
      </c>
    </row>
    <row r="17" spans="1:2" ht="24.75" x14ac:dyDescent="0.25">
      <c r="A17" s="103">
        <v>1</v>
      </c>
      <c r="B17" s="106" t="s">
        <v>36</v>
      </c>
    </row>
    <row r="18" spans="1:2" x14ac:dyDescent="0.25">
      <c r="A18" s="101" t="s">
        <v>24</v>
      </c>
      <c r="B18" s="102" t="s">
        <v>37</v>
      </c>
    </row>
    <row r="19" spans="1:2" x14ac:dyDescent="0.25">
      <c r="A19" s="104">
        <v>3</v>
      </c>
      <c r="B19" s="106" t="s">
        <v>38</v>
      </c>
    </row>
    <row r="20" spans="1:2" x14ac:dyDescent="0.25">
      <c r="A20" s="104">
        <v>2</v>
      </c>
      <c r="B20" s="106" t="s">
        <v>39</v>
      </c>
    </row>
    <row r="21" spans="1:2" ht="24.75" x14ac:dyDescent="0.25">
      <c r="A21" s="104">
        <v>1</v>
      </c>
      <c r="B21" s="106" t="s">
        <v>163</v>
      </c>
    </row>
    <row r="22" spans="1:2" x14ac:dyDescent="0.25">
      <c r="A22" s="104"/>
      <c r="B22" s="106" t="s">
        <v>164</v>
      </c>
    </row>
    <row r="23" spans="1:2" x14ac:dyDescent="0.25">
      <c r="A23" s="105"/>
      <c r="B23" s="100" t="s">
        <v>40</v>
      </c>
    </row>
    <row r="24" spans="1:2" x14ac:dyDescent="0.25">
      <c r="A24" s="101" t="s">
        <v>24</v>
      </c>
      <c r="B24" s="102" t="s">
        <v>41</v>
      </c>
    </row>
    <row r="25" spans="1:2" ht="36.75" x14ac:dyDescent="0.25">
      <c r="A25" s="103">
        <v>3</v>
      </c>
      <c r="B25" s="106" t="s">
        <v>42</v>
      </c>
    </row>
    <row r="26" spans="1:2" ht="24.75" x14ac:dyDescent="0.25">
      <c r="A26" s="103">
        <v>2</v>
      </c>
      <c r="B26" s="106" t="s">
        <v>43</v>
      </c>
    </row>
    <row r="27" spans="1:2" ht="24.75" x14ac:dyDescent="0.25">
      <c r="A27" s="103">
        <v>1</v>
      </c>
      <c r="B27" s="106" t="s">
        <v>44</v>
      </c>
    </row>
    <row r="28" spans="1:2" x14ac:dyDescent="0.25">
      <c r="A28" s="105"/>
      <c r="B28" s="100" t="s">
        <v>45</v>
      </c>
    </row>
    <row r="29" spans="1:2" x14ac:dyDescent="0.25">
      <c r="A29" s="101" t="s">
        <v>24</v>
      </c>
      <c r="B29" s="102" t="s">
        <v>46</v>
      </c>
    </row>
    <row r="30" spans="1:2" ht="36.75" x14ac:dyDescent="0.25">
      <c r="A30" s="103">
        <v>3</v>
      </c>
      <c r="B30" s="108" t="s">
        <v>165</v>
      </c>
    </row>
    <row r="31" spans="1:2" ht="24.75" x14ac:dyDescent="0.25">
      <c r="A31" s="103">
        <v>2</v>
      </c>
      <c r="B31" s="108" t="s">
        <v>166</v>
      </c>
    </row>
    <row r="32" spans="1:2" x14ac:dyDescent="0.25">
      <c r="A32" s="103">
        <v>1</v>
      </c>
      <c r="B32" s="108" t="s">
        <v>167</v>
      </c>
    </row>
    <row r="33" spans="1:2" x14ac:dyDescent="0.25">
      <c r="A33" s="105"/>
      <c r="B33" s="100" t="s">
        <v>47</v>
      </c>
    </row>
    <row r="34" spans="1:2" x14ac:dyDescent="0.25">
      <c r="A34" s="101" t="s">
        <v>24</v>
      </c>
      <c r="B34" s="102" t="s">
        <v>48</v>
      </c>
    </row>
    <row r="35" spans="1:2" x14ac:dyDescent="0.25">
      <c r="A35" s="103">
        <v>3</v>
      </c>
      <c r="B35" s="106" t="s">
        <v>168</v>
      </c>
    </row>
    <row r="36" spans="1:2" x14ac:dyDescent="0.25">
      <c r="A36" s="103">
        <v>2</v>
      </c>
      <c r="B36" s="106" t="s">
        <v>169</v>
      </c>
    </row>
    <row r="37" spans="1:2" x14ac:dyDescent="0.25">
      <c r="A37" s="103">
        <v>1</v>
      </c>
      <c r="B37" s="106" t="s">
        <v>170</v>
      </c>
    </row>
    <row r="38" spans="1:2" x14ac:dyDescent="0.25">
      <c r="A38" s="101" t="s">
        <v>24</v>
      </c>
      <c r="B38" s="102" t="s">
        <v>49</v>
      </c>
    </row>
    <row r="39" spans="1:2" x14ac:dyDescent="0.25">
      <c r="A39" s="104">
        <v>3</v>
      </c>
      <c r="B39" s="106" t="s">
        <v>50</v>
      </c>
    </row>
    <row r="40" spans="1:2" x14ac:dyDescent="0.25">
      <c r="A40" s="104">
        <v>2</v>
      </c>
      <c r="B40" s="106" t="s">
        <v>51</v>
      </c>
    </row>
    <row r="41" spans="1:2" x14ac:dyDescent="0.25">
      <c r="A41" s="104">
        <v>1</v>
      </c>
      <c r="B41" s="106" t="s">
        <v>52</v>
      </c>
    </row>
    <row r="42" spans="1:2" x14ac:dyDescent="0.25">
      <c r="A42" s="101" t="s">
        <v>24</v>
      </c>
      <c r="B42" s="102" t="s">
        <v>53</v>
      </c>
    </row>
    <row r="43" spans="1:2" x14ac:dyDescent="0.25">
      <c r="A43" s="104">
        <v>2</v>
      </c>
      <c r="B43" s="106" t="s">
        <v>171</v>
      </c>
    </row>
    <row r="44" spans="1:2" x14ac:dyDescent="0.25">
      <c r="A44" s="104">
        <v>1</v>
      </c>
      <c r="B44" s="109" t="s">
        <v>172</v>
      </c>
    </row>
    <row r="45" spans="1:2" x14ac:dyDescent="0.25">
      <c r="A45" s="100"/>
      <c r="B45" s="100" t="s">
        <v>19</v>
      </c>
    </row>
    <row r="46" spans="1:2" x14ac:dyDescent="0.25">
      <c r="A46" s="101" t="s">
        <v>24</v>
      </c>
      <c r="B46" s="102" t="s">
        <v>54</v>
      </c>
    </row>
    <row r="47" spans="1:2" ht="24" x14ac:dyDescent="0.25">
      <c r="A47" s="104" t="s">
        <v>55</v>
      </c>
      <c r="B47" s="107" t="s">
        <v>56</v>
      </c>
    </row>
  </sheetData>
  <mergeCells count="1">
    <mergeCell ref="A1:B1"/>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93"/>
  <sheetViews>
    <sheetView zoomScale="120" zoomScaleNormal="120" workbookViewId="0">
      <selection activeCell="T11" sqref="T11"/>
    </sheetView>
  </sheetViews>
  <sheetFormatPr defaultColWidth="8.28515625" defaultRowHeight="15" x14ac:dyDescent="0.25"/>
  <cols>
    <col min="2" max="2" width="19.28515625" customWidth="1"/>
    <col min="3" max="6" width="16.5703125" customWidth="1"/>
    <col min="7" max="8" width="13.7109375" customWidth="1"/>
    <col min="9" max="10" width="15.42578125" customWidth="1"/>
    <col min="13" max="13" width="20.42578125" customWidth="1"/>
    <col min="14" max="14" width="14.5703125" customWidth="1"/>
    <col min="15" max="15" width="24.140625" customWidth="1"/>
    <col min="16" max="16" width="15.28515625" customWidth="1"/>
    <col min="17" max="17" width="13.140625" customWidth="1"/>
    <col min="18" max="18" width="11.85546875" customWidth="1"/>
    <col min="19" max="19" width="12.28515625" customWidth="1"/>
    <col min="20" max="20" width="14.85546875" customWidth="1"/>
  </cols>
  <sheetData>
    <row r="2" spans="2:20" ht="22.5" customHeight="1" x14ac:dyDescent="0.25">
      <c r="B2" s="138" t="s">
        <v>57</v>
      </c>
      <c r="C2" s="138"/>
      <c r="D2" s="138"/>
      <c r="E2" s="138"/>
      <c r="F2" s="138"/>
      <c r="G2" s="139" t="s">
        <v>8</v>
      </c>
      <c r="H2" s="139"/>
      <c r="I2" s="139"/>
      <c r="J2" s="13"/>
      <c r="M2" s="139" t="s">
        <v>187</v>
      </c>
      <c r="N2" s="139"/>
      <c r="O2" s="139"/>
      <c r="P2" s="139"/>
      <c r="Q2" s="140" t="s">
        <v>10</v>
      </c>
      <c r="R2" s="140"/>
      <c r="S2" s="140"/>
      <c r="T2" s="140"/>
    </row>
    <row r="3" spans="2:20" ht="67.5" x14ac:dyDescent="0.25">
      <c r="B3" s="15" t="s">
        <v>58</v>
      </c>
      <c r="C3" s="16" t="s">
        <v>59</v>
      </c>
      <c r="D3" s="16" t="s">
        <v>60</v>
      </c>
      <c r="E3" s="17" t="s">
        <v>61</v>
      </c>
      <c r="F3" s="17" t="s">
        <v>62</v>
      </c>
      <c r="G3" s="17" t="s">
        <v>63</v>
      </c>
      <c r="H3" s="15" t="s">
        <v>64</v>
      </c>
      <c r="I3" s="15" t="s">
        <v>65</v>
      </c>
      <c r="J3" s="18"/>
      <c r="M3" s="112" t="s">
        <v>58</v>
      </c>
      <c r="N3" s="121" t="s">
        <v>66</v>
      </c>
      <c r="O3" s="121" t="s">
        <v>191</v>
      </c>
      <c r="P3" s="121" t="s">
        <v>67</v>
      </c>
      <c r="Q3" s="121" t="s">
        <v>68</v>
      </c>
      <c r="R3" s="112" t="s">
        <v>64</v>
      </c>
      <c r="S3" s="121" t="s">
        <v>69</v>
      </c>
      <c r="T3" s="121" t="s">
        <v>65</v>
      </c>
    </row>
    <row r="4" spans="2:20" x14ac:dyDescent="0.25">
      <c r="B4" s="112" t="s">
        <v>173</v>
      </c>
      <c r="C4" s="113">
        <v>10595.78</v>
      </c>
      <c r="D4" s="114">
        <f>C4*100/E4</f>
        <v>96.313977724430487</v>
      </c>
      <c r="E4" s="113">
        <v>11001.29</v>
      </c>
      <c r="F4" s="114">
        <v>9.34</v>
      </c>
      <c r="G4" s="112" t="s">
        <v>74</v>
      </c>
      <c r="H4" s="114">
        <v>4</v>
      </c>
      <c r="I4" s="115">
        <f>H4/H14</f>
        <v>0.1</v>
      </c>
      <c r="J4" s="111"/>
      <c r="M4" s="112" t="s">
        <v>173</v>
      </c>
      <c r="N4" s="122" t="s">
        <v>71</v>
      </c>
      <c r="O4" s="122" t="s">
        <v>72</v>
      </c>
      <c r="P4" s="122" t="s">
        <v>71</v>
      </c>
      <c r="Q4" s="122" t="s">
        <v>75</v>
      </c>
      <c r="R4" s="113">
        <v>2</v>
      </c>
      <c r="S4" s="113">
        <f>R14/R4</f>
        <v>9.5</v>
      </c>
      <c r="T4" s="123">
        <f>S4/S14</f>
        <v>7.6923076923076927E-2</v>
      </c>
    </row>
    <row r="5" spans="2:20" x14ac:dyDescent="0.25">
      <c r="B5" s="112" t="s">
        <v>174</v>
      </c>
      <c r="C5" s="113">
        <v>76197.91</v>
      </c>
      <c r="D5" s="112">
        <v>73.09</v>
      </c>
      <c r="E5" s="113">
        <v>104240.64</v>
      </c>
      <c r="F5" s="114">
        <v>18.68</v>
      </c>
      <c r="G5" s="112" t="s">
        <v>74</v>
      </c>
      <c r="H5" s="114">
        <v>5</v>
      </c>
      <c r="I5" s="115">
        <f>H5/H14</f>
        <v>0.125</v>
      </c>
      <c r="J5" s="111"/>
      <c r="M5" s="112" t="s">
        <v>174</v>
      </c>
      <c r="N5" s="122" t="s">
        <v>72</v>
      </c>
      <c r="O5" s="122" t="s">
        <v>72</v>
      </c>
      <c r="P5" s="122" t="s">
        <v>72</v>
      </c>
      <c r="Q5" s="122" t="s">
        <v>73</v>
      </c>
      <c r="R5" s="113">
        <v>3</v>
      </c>
      <c r="S5" s="113">
        <f>R14/R5</f>
        <v>6.333333333333333</v>
      </c>
      <c r="T5" s="123">
        <f>S5/S14</f>
        <v>5.128205128205128E-2</v>
      </c>
    </row>
    <row r="6" spans="2:20" x14ac:dyDescent="0.25">
      <c r="B6" s="112" t="s">
        <v>175</v>
      </c>
      <c r="C6" s="113">
        <v>32785.99</v>
      </c>
      <c r="D6" s="114">
        <v>73.099999999999994</v>
      </c>
      <c r="E6" s="113">
        <v>44847.99</v>
      </c>
      <c r="F6" s="114">
        <v>73.47</v>
      </c>
      <c r="G6" s="112" t="s">
        <v>183</v>
      </c>
      <c r="H6" s="114">
        <v>5</v>
      </c>
      <c r="I6" s="115">
        <f>H6/H14</f>
        <v>0.125</v>
      </c>
      <c r="J6" s="23"/>
      <c r="M6" s="112" t="s">
        <v>175</v>
      </c>
      <c r="N6" s="122" t="s">
        <v>71</v>
      </c>
      <c r="O6" s="122" t="s">
        <v>72</v>
      </c>
      <c r="P6" s="122" t="s">
        <v>71</v>
      </c>
      <c r="Q6" s="122" t="s">
        <v>75</v>
      </c>
      <c r="R6" s="113">
        <v>2</v>
      </c>
      <c r="S6" s="113">
        <f>R14/R6</f>
        <v>9.5</v>
      </c>
      <c r="T6" s="123">
        <f>S6/S14</f>
        <v>7.6923076923076927E-2</v>
      </c>
    </row>
    <row r="7" spans="2:20" x14ac:dyDescent="0.25">
      <c r="B7" s="112" t="s">
        <v>176</v>
      </c>
      <c r="C7" s="113">
        <v>13682.75</v>
      </c>
      <c r="D7" s="114">
        <v>75.23</v>
      </c>
      <c r="E7" s="113">
        <v>18187.419999999998</v>
      </c>
      <c r="F7" s="114">
        <v>12.33</v>
      </c>
      <c r="G7" s="112" t="s">
        <v>74</v>
      </c>
      <c r="H7" s="114">
        <v>5</v>
      </c>
      <c r="I7" s="115">
        <f>H7/H14</f>
        <v>0.125</v>
      </c>
      <c r="J7" s="23"/>
      <c r="M7" s="112" t="s">
        <v>176</v>
      </c>
      <c r="N7" s="122" t="s">
        <v>71</v>
      </c>
      <c r="O7" s="122" t="s">
        <v>72</v>
      </c>
      <c r="P7" s="122" t="s">
        <v>71</v>
      </c>
      <c r="Q7" s="122" t="s">
        <v>73</v>
      </c>
      <c r="R7" s="113">
        <v>3</v>
      </c>
      <c r="S7" s="113">
        <f>R14/R7</f>
        <v>6.333333333333333</v>
      </c>
      <c r="T7" s="123">
        <f>S7/S14</f>
        <v>5.128205128205128E-2</v>
      </c>
    </row>
    <row r="8" spans="2:20" x14ac:dyDescent="0.25">
      <c r="B8" s="112" t="s">
        <v>177</v>
      </c>
      <c r="C8" s="113">
        <v>45325.279999999999</v>
      </c>
      <c r="D8" s="114">
        <v>81.599999999999994</v>
      </c>
      <c r="E8" s="113">
        <v>55543.89</v>
      </c>
      <c r="F8" s="114">
        <v>54.57</v>
      </c>
      <c r="G8" s="112" t="s">
        <v>74</v>
      </c>
      <c r="H8" s="114">
        <v>5</v>
      </c>
      <c r="I8" s="115">
        <f>H8/H14</f>
        <v>0.125</v>
      </c>
      <c r="J8" s="111"/>
      <c r="M8" s="112" t="s">
        <v>177</v>
      </c>
      <c r="N8" s="122" t="s">
        <v>71</v>
      </c>
      <c r="O8" s="122" t="s">
        <v>71</v>
      </c>
      <c r="P8" s="122" t="s">
        <v>71</v>
      </c>
      <c r="Q8" s="122" t="s">
        <v>76</v>
      </c>
      <c r="R8" s="113">
        <v>1</v>
      </c>
      <c r="S8" s="113">
        <f>R14/R8</f>
        <v>19</v>
      </c>
      <c r="T8" s="123">
        <f>S8/S14</f>
        <v>0.15384615384615385</v>
      </c>
    </row>
    <row r="9" spans="2:20" x14ac:dyDescent="0.25">
      <c r="B9" s="116" t="s">
        <v>188</v>
      </c>
      <c r="C9" s="113">
        <v>5078.43</v>
      </c>
      <c r="D9" s="114">
        <v>91.17</v>
      </c>
      <c r="E9" s="113">
        <v>5570.11</v>
      </c>
      <c r="F9" s="114">
        <v>3.33</v>
      </c>
      <c r="G9" s="112" t="s">
        <v>74</v>
      </c>
      <c r="H9" s="114">
        <v>2</v>
      </c>
      <c r="I9" s="115">
        <f>H9/H14</f>
        <v>0.05</v>
      </c>
      <c r="J9" s="132"/>
      <c r="M9" s="116" t="s">
        <v>178</v>
      </c>
      <c r="N9" s="122" t="s">
        <v>71</v>
      </c>
      <c r="O9" s="122" t="s">
        <v>72</v>
      </c>
      <c r="P9" s="122" t="s">
        <v>71</v>
      </c>
      <c r="Q9" s="122" t="s">
        <v>73</v>
      </c>
      <c r="R9" s="113">
        <v>3</v>
      </c>
      <c r="S9" s="113">
        <f>R14/R9</f>
        <v>6.333333333333333</v>
      </c>
      <c r="T9" s="123">
        <f>S9/S14</f>
        <v>5.128205128205128E-2</v>
      </c>
    </row>
    <row r="10" spans="2:20" x14ac:dyDescent="0.25">
      <c r="B10" s="112" t="s">
        <v>179</v>
      </c>
      <c r="C10" s="113">
        <v>12051.91</v>
      </c>
      <c r="D10" s="114">
        <v>73.099999999999994</v>
      </c>
      <c r="E10" s="113">
        <v>16486.75</v>
      </c>
      <c r="F10" s="114">
        <v>11.44</v>
      </c>
      <c r="G10" s="112" t="s">
        <v>77</v>
      </c>
      <c r="H10" s="114">
        <v>5</v>
      </c>
      <c r="I10" s="115">
        <f>H10/H14</f>
        <v>0.125</v>
      </c>
      <c r="J10" s="111"/>
      <c r="M10" s="112" t="s">
        <v>179</v>
      </c>
      <c r="N10" s="122" t="s">
        <v>71</v>
      </c>
      <c r="O10" s="122" t="s">
        <v>71</v>
      </c>
      <c r="P10" s="122" t="s">
        <v>71</v>
      </c>
      <c r="Q10" s="122" t="s">
        <v>76</v>
      </c>
      <c r="R10" s="113">
        <v>1</v>
      </c>
      <c r="S10" s="113">
        <f>R14/R10</f>
        <v>19</v>
      </c>
      <c r="T10" s="123">
        <f>S10/S14</f>
        <v>0.15384615384615385</v>
      </c>
    </row>
    <row r="11" spans="2:20" x14ac:dyDescent="0.25">
      <c r="B11" s="112" t="s">
        <v>180</v>
      </c>
      <c r="C11" s="113">
        <v>37151.1</v>
      </c>
      <c r="D11" s="114">
        <v>38.81</v>
      </c>
      <c r="E11" s="113">
        <v>95717.5</v>
      </c>
      <c r="F11" s="114">
        <v>50.5</v>
      </c>
      <c r="G11" s="112" t="s">
        <v>183</v>
      </c>
      <c r="H11" s="114">
        <v>3</v>
      </c>
      <c r="I11" s="115">
        <f>H11/H14</f>
        <v>7.4999999999999997E-2</v>
      </c>
      <c r="J11" s="132"/>
      <c r="M11" s="112" t="s">
        <v>180</v>
      </c>
      <c r="N11" s="122" t="s">
        <v>72</v>
      </c>
      <c r="O11" s="122" t="s">
        <v>72</v>
      </c>
      <c r="P11" s="122" t="s">
        <v>71</v>
      </c>
      <c r="Q11" s="122" t="s">
        <v>76</v>
      </c>
      <c r="R11" s="113">
        <v>1</v>
      </c>
      <c r="S11" s="113">
        <f>R14/R11</f>
        <v>19</v>
      </c>
      <c r="T11" s="123">
        <f>S11/S14</f>
        <v>0.15384615384615385</v>
      </c>
    </row>
    <row r="12" spans="2:20" x14ac:dyDescent="0.25">
      <c r="B12" s="112" t="s">
        <v>181</v>
      </c>
      <c r="C12" s="113">
        <v>71112.62</v>
      </c>
      <c r="D12" s="114">
        <v>70.959999999999994</v>
      </c>
      <c r="E12" s="113">
        <v>100211.2</v>
      </c>
      <c r="F12" s="114">
        <v>60.54</v>
      </c>
      <c r="G12" s="112" t="s">
        <v>74</v>
      </c>
      <c r="H12" s="114">
        <v>5</v>
      </c>
      <c r="I12" s="115">
        <f>H12/H14</f>
        <v>0.125</v>
      </c>
      <c r="J12" s="111"/>
      <c r="M12" s="112" t="s">
        <v>181</v>
      </c>
      <c r="N12" s="122" t="s">
        <v>71</v>
      </c>
      <c r="O12" s="122" t="s">
        <v>71</v>
      </c>
      <c r="P12" s="122" t="s">
        <v>71</v>
      </c>
      <c r="Q12" s="122" t="s">
        <v>76</v>
      </c>
      <c r="R12" s="113">
        <v>1</v>
      </c>
      <c r="S12" s="113">
        <f>R14/R12</f>
        <v>19</v>
      </c>
      <c r="T12" s="123">
        <f>S12/S14</f>
        <v>0.15384615384615385</v>
      </c>
    </row>
    <row r="13" spans="2:20" x14ac:dyDescent="0.25">
      <c r="B13" s="112" t="s">
        <v>182</v>
      </c>
      <c r="C13" s="113">
        <v>0</v>
      </c>
      <c r="D13" s="114">
        <v>0</v>
      </c>
      <c r="E13" s="113">
        <v>0</v>
      </c>
      <c r="F13" s="114">
        <v>0</v>
      </c>
      <c r="G13" s="112" t="s">
        <v>70</v>
      </c>
      <c r="H13" s="114">
        <v>1</v>
      </c>
      <c r="I13" s="115">
        <f>H13/H14</f>
        <v>2.5000000000000001E-2</v>
      </c>
      <c r="J13" s="23"/>
      <c r="M13" s="112" t="s">
        <v>182</v>
      </c>
      <c r="N13" s="122" t="s">
        <v>72</v>
      </c>
      <c r="O13" s="122" t="s">
        <v>71</v>
      </c>
      <c r="P13" s="122" t="s">
        <v>71</v>
      </c>
      <c r="Q13" s="122" t="s">
        <v>75</v>
      </c>
      <c r="R13" s="113">
        <v>2</v>
      </c>
      <c r="S13" s="113">
        <f>R14/R13</f>
        <v>9.5</v>
      </c>
      <c r="T13" s="123">
        <f>S13/S14</f>
        <v>7.6923076923076927E-2</v>
      </c>
    </row>
    <row r="14" spans="2:20" x14ac:dyDescent="0.25">
      <c r="B14" s="117" t="s">
        <v>78</v>
      </c>
      <c r="C14" s="118"/>
      <c r="D14" s="119"/>
      <c r="E14" s="118"/>
      <c r="F14" s="119"/>
      <c r="G14" s="112"/>
      <c r="H14" s="119">
        <f>SUM(H4:H13)</f>
        <v>40</v>
      </c>
      <c r="I14" s="120">
        <f>SUM(I4:I13)</f>
        <v>1</v>
      </c>
      <c r="J14" s="27"/>
      <c r="M14" s="158" t="s">
        <v>78</v>
      </c>
      <c r="N14" s="159"/>
      <c r="O14" s="159"/>
      <c r="P14" s="159"/>
      <c r="Q14" s="160"/>
      <c r="R14" s="161">
        <f>R4+R5+R6+R7+R8+R9+R10+R11+R12+R13</f>
        <v>19</v>
      </c>
      <c r="S14" s="161">
        <f>S4+S5+S6+S7+S8+S9+S10+S11+S12+S13</f>
        <v>123.5</v>
      </c>
      <c r="T14" s="162">
        <f>SUM(T4:T13)</f>
        <v>1</v>
      </c>
    </row>
    <row r="15" spans="2:20" s="51" customFormat="1" x14ac:dyDescent="0.25">
      <c r="B15" s="141" t="s">
        <v>185</v>
      </c>
      <c r="C15" s="141"/>
      <c r="D15" s="141"/>
      <c r="E15" s="141"/>
      <c r="F15" s="141"/>
      <c r="G15" s="141"/>
      <c r="H15" s="141"/>
      <c r="I15" s="141"/>
      <c r="J15" s="28"/>
      <c r="M15" s="142" t="s">
        <v>185</v>
      </c>
      <c r="N15" s="143"/>
      <c r="O15" s="143"/>
      <c r="P15" s="143"/>
      <c r="Q15" s="143"/>
      <c r="R15" s="143"/>
      <c r="S15" s="143"/>
      <c r="T15" s="144"/>
    </row>
    <row r="17" spans="2:19" ht="23.25" customHeight="1" x14ac:dyDescent="0.25">
      <c r="B17" s="145" t="s">
        <v>79</v>
      </c>
      <c r="C17" s="145"/>
      <c r="D17" s="145"/>
      <c r="E17" s="145"/>
      <c r="F17" s="145"/>
      <c r="G17" s="139" t="s">
        <v>10</v>
      </c>
      <c r="H17" s="139"/>
      <c r="I17" s="139"/>
      <c r="J17" s="139"/>
      <c r="M17" s="139" t="s">
        <v>80</v>
      </c>
      <c r="N17" s="139"/>
      <c r="O17" s="139"/>
      <c r="P17" s="140" t="s">
        <v>8</v>
      </c>
      <c r="Q17" s="140"/>
    </row>
    <row r="18" spans="2:19" ht="56.25" x14ac:dyDescent="0.25">
      <c r="B18" s="19" t="s">
        <v>58</v>
      </c>
      <c r="C18" s="20" t="s">
        <v>81</v>
      </c>
      <c r="D18" s="20" t="s">
        <v>82</v>
      </c>
      <c r="E18" s="20" t="s">
        <v>83</v>
      </c>
      <c r="F18" s="20" t="s">
        <v>84</v>
      </c>
      <c r="G18" s="20" t="s">
        <v>85</v>
      </c>
      <c r="H18" s="19" t="s">
        <v>64</v>
      </c>
      <c r="I18" s="19" t="s">
        <v>69</v>
      </c>
      <c r="J18" s="19" t="s">
        <v>65</v>
      </c>
      <c r="M18" s="19" t="s">
        <v>58</v>
      </c>
      <c r="N18" s="20" t="s">
        <v>86</v>
      </c>
      <c r="O18" s="20" t="s">
        <v>87</v>
      </c>
      <c r="P18" s="19" t="s">
        <v>64</v>
      </c>
      <c r="Q18" s="20" t="s">
        <v>65</v>
      </c>
    </row>
    <row r="19" spans="2:19" x14ac:dyDescent="0.25">
      <c r="B19" s="112" t="s">
        <v>173</v>
      </c>
      <c r="C19" s="121" t="s">
        <v>71</v>
      </c>
      <c r="D19" s="121" t="s">
        <v>71</v>
      </c>
      <c r="E19" s="121" t="s">
        <v>71</v>
      </c>
      <c r="F19" s="121" t="s">
        <v>71</v>
      </c>
      <c r="G19" s="121" t="s">
        <v>89</v>
      </c>
      <c r="H19" s="112">
        <v>1</v>
      </c>
      <c r="I19" s="124">
        <f>H29/H19</f>
        <v>13</v>
      </c>
      <c r="J19" s="115">
        <f>I19/I29</f>
        <v>0.11764705882352941</v>
      </c>
      <c r="M19" s="112" t="s">
        <v>173</v>
      </c>
      <c r="N19" s="122" t="s">
        <v>72</v>
      </c>
      <c r="O19" s="122">
        <v>6</v>
      </c>
      <c r="P19" s="121">
        <v>3</v>
      </c>
      <c r="Q19" s="123">
        <f>P19/P29</f>
        <v>0.10714285714285714</v>
      </c>
    </row>
    <row r="20" spans="2:19" x14ac:dyDescent="0.25">
      <c r="B20" s="112" t="s">
        <v>174</v>
      </c>
      <c r="C20" s="121" t="s">
        <v>71</v>
      </c>
      <c r="D20" s="121" t="s">
        <v>72</v>
      </c>
      <c r="E20" s="121" t="s">
        <v>71</v>
      </c>
      <c r="F20" s="121" t="s">
        <v>71</v>
      </c>
      <c r="G20" s="121" t="s">
        <v>89</v>
      </c>
      <c r="H20" s="112">
        <v>1</v>
      </c>
      <c r="I20" s="124">
        <f>H29/H20</f>
        <v>13</v>
      </c>
      <c r="J20" s="115">
        <f>I20/I29</f>
        <v>0.11764705882352941</v>
      </c>
      <c r="M20" s="112" t="s">
        <v>174</v>
      </c>
      <c r="N20" s="122" t="s">
        <v>72</v>
      </c>
      <c r="O20" s="122">
        <v>6</v>
      </c>
      <c r="P20" s="121">
        <v>3</v>
      </c>
      <c r="Q20" s="123">
        <f>P20/P29</f>
        <v>0.10714285714285714</v>
      </c>
    </row>
    <row r="21" spans="2:19" x14ac:dyDescent="0.25">
      <c r="B21" s="112" t="s">
        <v>175</v>
      </c>
      <c r="C21" s="121" t="s">
        <v>71</v>
      </c>
      <c r="D21" s="121" t="s">
        <v>71</v>
      </c>
      <c r="E21" s="121" t="s">
        <v>71</v>
      </c>
      <c r="F21" s="121" t="s">
        <v>71</v>
      </c>
      <c r="G21" s="121" t="s">
        <v>89</v>
      </c>
      <c r="H21" s="112">
        <v>1</v>
      </c>
      <c r="I21" s="124">
        <f>H29/H21</f>
        <v>13</v>
      </c>
      <c r="J21" s="115">
        <f>I21/I29</f>
        <v>0.11764705882352941</v>
      </c>
      <c r="M21" s="112" t="s">
        <v>175</v>
      </c>
      <c r="N21" s="122" t="s">
        <v>72</v>
      </c>
      <c r="O21" s="122">
        <v>4</v>
      </c>
      <c r="P21" s="121">
        <v>2</v>
      </c>
      <c r="Q21" s="123">
        <f>P21/P29</f>
        <v>7.1428571428571425E-2</v>
      </c>
    </row>
    <row r="22" spans="2:19" x14ac:dyDescent="0.25">
      <c r="B22" s="112" t="s">
        <v>176</v>
      </c>
      <c r="C22" s="121" t="s">
        <v>71</v>
      </c>
      <c r="D22" s="121" t="s">
        <v>72</v>
      </c>
      <c r="E22" s="121" t="s">
        <v>71</v>
      </c>
      <c r="F22" s="121" t="s">
        <v>72</v>
      </c>
      <c r="G22" s="121" t="s">
        <v>88</v>
      </c>
      <c r="H22" s="112">
        <v>2</v>
      </c>
      <c r="I22" s="124">
        <f>H29/H22</f>
        <v>6.5</v>
      </c>
      <c r="J22" s="115">
        <f>I22/I29</f>
        <v>5.8823529411764705E-2</v>
      </c>
      <c r="M22" s="112" t="s">
        <v>176</v>
      </c>
      <c r="N22" s="122" t="s">
        <v>72</v>
      </c>
      <c r="O22" s="122">
        <v>6</v>
      </c>
      <c r="P22" s="121">
        <v>3</v>
      </c>
      <c r="Q22" s="123">
        <f>P22/P29</f>
        <v>0.10714285714285714</v>
      </c>
    </row>
    <row r="23" spans="2:19" x14ac:dyDescent="0.25">
      <c r="B23" s="112" t="s">
        <v>177</v>
      </c>
      <c r="C23" s="121" t="s">
        <v>71</v>
      </c>
      <c r="D23" s="121" t="s">
        <v>71</v>
      </c>
      <c r="E23" s="121" t="s">
        <v>72</v>
      </c>
      <c r="F23" s="121" t="s">
        <v>72</v>
      </c>
      <c r="G23" s="121" t="s">
        <v>88</v>
      </c>
      <c r="H23" s="112">
        <v>2</v>
      </c>
      <c r="I23" s="124">
        <f>H29/H23</f>
        <v>6.5</v>
      </c>
      <c r="J23" s="115">
        <f>I23/I29</f>
        <v>5.8823529411764705E-2</v>
      </c>
      <c r="M23" s="112" t="s">
        <v>177</v>
      </c>
      <c r="N23" s="122" t="s">
        <v>72</v>
      </c>
      <c r="O23" s="122">
        <v>4</v>
      </c>
      <c r="P23" s="121">
        <v>2</v>
      </c>
      <c r="Q23" s="123">
        <f>P23/P29</f>
        <v>7.1428571428571425E-2</v>
      </c>
    </row>
    <row r="24" spans="2:19" x14ac:dyDescent="0.25">
      <c r="B24" s="116" t="s">
        <v>178</v>
      </c>
      <c r="C24" s="121" t="s">
        <v>71</v>
      </c>
      <c r="D24" s="121" t="s">
        <v>71</v>
      </c>
      <c r="E24" s="121" t="s">
        <v>71</v>
      </c>
      <c r="F24" s="121" t="s">
        <v>72</v>
      </c>
      <c r="G24" s="121" t="s">
        <v>89</v>
      </c>
      <c r="H24" s="112">
        <v>1</v>
      </c>
      <c r="I24" s="124">
        <f>H29/H24</f>
        <v>13</v>
      </c>
      <c r="J24" s="115">
        <f>I24/I29</f>
        <v>0.11764705882352941</v>
      </c>
      <c r="M24" s="116" t="s">
        <v>178</v>
      </c>
      <c r="N24" s="122" t="s">
        <v>72</v>
      </c>
      <c r="O24" s="122">
        <v>7</v>
      </c>
      <c r="P24" s="121">
        <v>3</v>
      </c>
      <c r="Q24" s="123">
        <f>P24/P29</f>
        <v>0.10714285714285714</v>
      </c>
    </row>
    <row r="25" spans="2:19" x14ac:dyDescent="0.25">
      <c r="B25" s="112" t="s">
        <v>179</v>
      </c>
      <c r="C25" s="121" t="s">
        <v>71</v>
      </c>
      <c r="D25" s="121" t="s">
        <v>72</v>
      </c>
      <c r="E25" s="121" t="s">
        <v>71</v>
      </c>
      <c r="F25" s="121" t="s">
        <v>72</v>
      </c>
      <c r="G25" s="121" t="s">
        <v>88</v>
      </c>
      <c r="H25" s="112">
        <v>2</v>
      </c>
      <c r="I25" s="124">
        <f>H29/H25</f>
        <v>6.5</v>
      </c>
      <c r="J25" s="115">
        <f>I25/I29</f>
        <v>5.8823529411764705E-2</v>
      </c>
      <c r="M25" s="112" t="s">
        <v>179</v>
      </c>
      <c r="N25" s="122" t="s">
        <v>72</v>
      </c>
      <c r="O25" s="122">
        <v>6</v>
      </c>
      <c r="P25" s="121">
        <v>3</v>
      </c>
      <c r="Q25" s="123">
        <f>P25/P29</f>
        <v>0.10714285714285714</v>
      </c>
    </row>
    <row r="26" spans="2:19" x14ac:dyDescent="0.25">
      <c r="B26" s="112" t="s">
        <v>180</v>
      </c>
      <c r="C26" s="121" t="s">
        <v>71</v>
      </c>
      <c r="D26" s="121" t="s">
        <v>71</v>
      </c>
      <c r="E26" s="121" t="s">
        <v>71</v>
      </c>
      <c r="F26" s="121" t="s">
        <v>72</v>
      </c>
      <c r="G26" s="121" t="s">
        <v>89</v>
      </c>
      <c r="H26" s="112">
        <v>1</v>
      </c>
      <c r="I26" s="124">
        <f>H29/H26</f>
        <v>13</v>
      </c>
      <c r="J26" s="115">
        <f>I26/I29</f>
        <v>0.11764705882352941</v>
      </c>
      <c r="M26" s="112" t="s">
        <v>180</v>
      </c>
      <c r="N26" s="122" t="s">
        <v>72</v>
      </c>
      <c r="O26" s="122">
        <v>5</v>
      </c>
      <c r="P26" s="121">
        <v>3</v>
      </c>
      <c r="Q26" s="123">
        <f>P26/P29</f>
        <v>0.10714285714285714</v>
      </c>
    </row>
    <row r="27" spans="2:19" x14ac:dyDescent="0.25">
      <c r="B27" s="112" t="s">
        <v>181</v>
      </c>
      <c r="C27" s="121" t="s">
        <v>71</v>
      </c>
      <c r="D27" s="121" t="s">
        <v>71</v>
      </c>
      <c r="E27" s="121" t="s">
        <v>71</v>
      </c>
      <c r="F27" s="121" t="s">
        <v>71</v>
      </c>
      <c r="G27" s="121" t="s">
        <v>89</v>
      </c>
      <c r="H27" s="112">
        <v>1</v>
      </c>
      <c r="I27" s="124">
        <f>H29/H27</f>
        <v>13</v>
      </c>
      <c r="J27" s="115">
        <f>I27/I29</f>
        <v>0.11764705882352941</v>
      </c>
      <c r="M27" s="112" t="s">
        <v>181</v>
      </c>
      <c r="N27" s="122" t="s">
        <v>72</v>
      </c>
      <c r="O27" s="122">
        <v>6</v>
      </c>
      <c r="P27" s="121">
        <v>3</v>
      </c>
      <c r="Q27" s="123">
        <f>P27/P29</f>
        <v>0.10714285714285714</v>
      </c>
    </row>
    <row r="28" spans="2:19" ht="19.899999999999999" customHeight="1" x14ac:dyDescent="0.25">
      <c r="B28" s="112" t="s">
        <v>182</v>
      </c>
      <c r="C28" s="121" t="s">
        <v>71</v>
      </c>
      <c r="D28" s="121" t="s">
        <v>71</v>
      </c>
      <c r="E28" s="121" t="s">
        <v>71</v>
      </c>
      <c r="F28" s="121" t="s">
        <v>72</v>
      </c>
      <c r="G28" s="121" t="s">
        <v>89</v>
      </c>
      <c r="H28" s="112">
        <v>1</v>
      </c>
      <c r="I28" s="124">
        <f>H29/H28</f>
        <v>13</v>
      </c>
      <c r="J28" s="115">
        <f>I28/I29</f>
        <v>0.11764705882352941</v>
      </c>
      <c r="M28" s="112" t="s">
        <v>182</v>
      </c>
      <c r="N28" s="122" t="s">
        <v>72</v>
      </c>
      <c r="O28" s="122">
        <v>7</v>
      </c>
      <c r="P28" s="121">
        <v>3</v>
      </c>
      <c r="Q28" s="123">
        <f>P28/P29</f>
        <v>0.10714285714285714</v>
      </c>
    </row>
    <row r="29" spans="2:19" x14ac:dyDescent="0.25">
      <c r="B29" s="112" t="s">
        <v>78</v>
      </c>
      <c r="C29" s="121"/>
      <c r="D29" s="121"/>
      <c r="E29" s="121"/>
      <c r="F29" s="121"/>
      <c r="G29" s="125"/>
      <c r="H29" s="112">
        <f>SUM(H19:H28)</f>
        <v>13</v>
      </c>
      <c r="I29" s="124">
        <f>I19+I20+I21+I22+I23+I24+I25+I26+I27+I28</f>
        <v>110.5</v>
      </c>
      <c r="J29" s="115">
        <f>SUM(J19:J28)</f>
        <v>1</v>
      </c>
      <c r="M29" s="112" t="s">
        <v>78</v>
      </c>
      <c r="N29" s="125"/>
      <c r="O29" s="125"/>
      <c r="P29" s="121">
        <f>P19+P20+P21+P22+P23+P24+P25+P26+P27+P28</f>
        <v>28</v>
      </c>
      <c r="Q29" s="123">
        <f>SUM(Q19:Q28)</f>
        <v>0.99999999999999978</v>
      </c>
    </row>
    <row r="30" spans="2:19" x14ac:dyDescent="0.25">
      <c r="B30" s="141" t="s">
        <v>186</v>
      </c>
      <c r="C30" s="141"/>
      <c r="D30" s="141"/>
      <c r="E30" s="141"/>
      <c r="F30" s="141"/>
      <c r="G30" s="141"/>
      <c r="H30" s="141"/>
      <c r="I30" s="141"/>
      <c r="J30" s="141"/>
      <c r="M30" s="141" t="s">
        <v>185</v>
      </c>
      <c r="N30" s="141"/>
      <c r="O30" s="141"/>
      <c r="P30" s="141"/>
      <c r="Q30" s="141"/>
    </row>
    <row r="32" spans="2:19" ht="15" customHeight="1" x14ac:dyDescent="0.25">
      <c r="B32" s="145" t="s">
        <v>90</v>
      </c>
      <c r="C32" s="145"/>
      <c r="D32" s="145"/>
      <c r="E32" s="139" t="s">
        <v>8</v>
      </c>
      <c r="F32" s="139"/>
      <c r="G32" s="139"/>
      <c r="I32" s="13"/>
      <c r="J32" s="13"/>
      <c r="M32" s="140" t="s">
        <v>91</v>
      </c>
      <c r="N32" s="140"/>
      <c r="O32" s="140"/>
      <c r="P32" s="139" t="s">
        <v>10</v>
      </c>
      <c r="Q32" s="139"/>
      <c r="R32" s="139"/>
      <c r="S32" s="139"/>
    </row>
    <row r="33" spans="2:19" ht="56.25" x14ac:dyDescent="0.25">
      <c r="B33" s="19" t="s">
        <v>58</v>
      </c>
      <c r="C33" s="20" t="s">
        <v>92</v>
      </c>
      <c r="D33" s="20" t="s">
        <v>93</v>
      </c>
      <c r="E33" s="19" t="s">
        <v>94</v>
      </c>
      <c r="F33" s="19" t="s">
        <v>64</v>
      </c>
      <c r="G33" s="19" t="s">
        <v>65</v>
      </c>
      <c r="I33" s="29"/>
      <c r="J33" s="29"/>
      <c r="M33" s="19" t="s">
        <v>58</v>
      </c>
      <c r="N33" s="20" t="s">
        <v>95</v>
      </c>
      <c r="O33" s="20" t="s">
        <v>96</v>
      </c>
      <c r="P33" s="19" t="s">
        <v>97</v>
      </c>
      <c r="Q33" s="19" t="s">
        <v>64</v>
      </c>
      <c r="R33" s="19" t="s">
        <v>69</v>
      </c>
      <c r="S33" s="19" t="s">
        <v>65</v>
      </c>
    </row>
    <row r="34" spans="2:19" x14ac:dyDescent="0.25">
      <c r="B34" s="112" t="s">
        <v>173</v>
      </c>
      <c r="C34" s="121" t="s">
        <v>71</v>
      </c>
      <c r="D34" s="121" t="s">
        <v>72</v>
      </c>
      <c r="E34" s="121" t="s">
        <v>99</v>
      </c>
      <c r="F34" s="112">
        <v>2</v>
      </c>
      <c r="G34" s="115">
        <f>F34/F44</f>
        <v>0.10526315789473684</v>
      </c>
      <c r="I34" s="29"/>
      <c r="J34" s="29"/>
      <c r="M34" s="112" t="s">
        <v>173</v>
      </c>
      <c r="N34" s="126">
        <v>103.39</v>
      </c>
      <c r="O34" s="126">
        <v>0.09</v>
      </c>
      <c r="P34" s="126" t="s">
        <v>76</v>
      </c>
      <c r="Q34" s="114">
        <v>1</v>
      </c>
      <c r="R34" s="114">
        <f>Q44/Q34</f>
        <v>11</v>
      </c>
      <c r="S34" s="115">
        <f>R34/R44</f>
        <v>0.10526315789473684</v>
      </c>
    </row>
    <row r="35" spans="2:19" x14ac:dyDescent="0.25">
      <c r="B35" s="112" t="s">
        <v>174</v>
      </c>
      <c r="C35" s="121" t="s">
        <v>71</v>
      </c>
      <c r="D35" s="121" t="s">
        <v>72</v>
      </c>
      <c r="E35" s="121" t="s">
        <v>99</v>
      </c>
      <c r="F35" s="112">
        <v>2</v>
      </c>
      <c r="G35" s="115">
        <f>F35/F44</f>
        <v>0.10526315789473684</v>
      </c>
      <c r="I35" s="29"/>
      <c r="J35" s="29"/>
      <c r="M35" s="112" t="s">
        <v>174</v>
      </c>
      <c r="N35" s="126">
        <v>13421.25</v>
      </c>
      <c r="O35" s="126">
        <v>2.41</v>
      </c>
      <c r="P35" s="126" t="s">
        <v>75</v>
      </c>
      <c r="Q35" s="114">
        <v>2</v>
      </c>
      <c r="R35" s="114">
        <f>Q44/Q35</f>
        <v>5.5</v>
      </c>
      <c r="S35" s="115">
        <f>R35/R44</f>
        <v>5.2631578947368418E-2</v>
      </c>
    </row>
    <row r="36" spans="2:19" x14ac:dyDescent="0.25">
      <c r="B36" s="112" t="s">
        <v>175</v>
      </c>
      <c r="C36" s="121" t="s">
        <v>71</v>
      </c>
      <c r="D36" s="121" t="s">
        <v>71</v>
      </c>
      <c r="E36" s="121" t="s">
        <v>98</v>
      </c>
      <c r="F36" s="112">
        <v>1</v>
      </c>
      <c r="G36" s="115">
        <f>F36/F44</f>
        <v>5.2631578947368418E-2</v>
      </c>
      <c r="I36" s="29"/>
      <c r="J36" s="29"/>
      <c r="M36" s="112" t="s">
        <v>175</v>
      </c>
      <c r="N36" s="126">
        <v>0</v>
      </c>
      <c r="O36" s="126">
        <v>0</v>
      </c>
      <c r="P36" s="126" t="s">
        <v>76</v>
      </c>
      <c r="Q36" s="114">
        <v>1</v>
      </c>
      <c r="R36" s="114">
        <f>Q44/Q36</f>
        <v>11</v>
      </c>
      <c r="S36" s="115">
        <f>R36/R44</f>
        <v>0.10526315789473684</v>
      </c>
    </row>
    <row r="37" spans="2:19" x14ac:dyDescent="0.25">
      <c r="B37" s="112" t="s">
        <v>176</v>
      </c>
      <c r="C37" s="121" t="s">
        <v>72</v>
      </c>
      <c r="D37" s="121" t="s">
        <v>72</v>
      </c>
      <c r="E37" s="121" t="s">
        <v>99</v>
      </c>
      <c r="F37" s="112">
        <v>2</v>
      </c>
      <c r="G37" s="115">
        <f>F37/F44</f>
        <v>0.10526315789473684</v>
      </c>
      <c r="I37" s="29"/>
      <c r="J37" s="29"/>
      <c r="M37" s="112" t="s">
        <v>176</v>
      </c>
      <c r="N37" s="126">
        <v>94.97</v>
      </c>
      <c r="O37" s="126">
        <v>0.06</v>
      </c>
      <c r="P37" s="126" t="s">
        <v>76</v>
      </c>
      <c r="Q37" s="114">
        <v>1</v>
      </c>
      <c r="R37" s="114">
        <f>Q44/Q37</f>
        <v>11</v>
      </c>
      <c r="S37" s="115">
        <f>R37/R44</f>
        <v>0.10526315789473684</v>
      </c>
    </row>
    <row r="38" spans="2:19" x14ac:dyDescent="0.25">
      <c r="B38" s="112" t="s">
        <v>177</v>
      </c>
      <c r="C38" s="121" t="s">
        <v>71</v>
      </c>
      <c r="D38" s="121" t="s">
        <v>71</v>
      </c>
      <c r="E38" s="121" t="s">
        <v>98</v>
      </c>
      <c r="F38" s="112">
        <v>1</v>
      </c>
      <c r="G38" s="115">
        <f>F38/F44</f>
        <v>5.2631578947368418E-2</v>
      </c>
      <c r="I38" s="29"/>
      <c r="J38" s="29"/>
      <c r="M38" s="112" t="s">
        <v>177</v>
      </c>
      <c r="N38" s="126">
        <v>0</v>
      </c>
      <c r="O38" s="126">
        <v>0</v>
      </c>
      <c r="P38" s="126" t="s">
        <v>76</v>
      </c>
      <c r="Q38" s="114">
        <v>1</v>
      </c>
      <c r="R38" s="114">
        <f>Q44/Q38</f>
        <v>11</v>
      </c>
      <c r="S38" s="115">
        <f>R38/R44</f>
        <v>0.10526315789473684</v>
      </c>
    </row>
    <row r="39" spans="2:19" x14ac:dyDescent="0.25">
      <c r="B39" s="116" t="s">
        <v>178</v>
      </c>
      <c r="C39" s="121" t="s">
        <v>71</v>
      </c>
      <c r="D39" s="121" t="s">
        <v>72</v>
      </c>
      <c r="E39" s="121" t="s">
        <v>99</v>
      </c>
      <c r="F39" s="112">
        <v>2</v>
      </c>
      <c r="G39" s="115">
        <f>F39/F44</f>
        <v>0.10526315789473684</v>
      </c>
      <c r="I39" s="29"/>
      <c r="J39" s="29"/>
      <c r="M39" s="116" t="s">
        <v>178</v>
      </c>
      <c r="N39" s="126">
        <v>0</v>
      </c>
      <c r="O39" s="126">
        <v>0</v>
      </c>
      <c r="P39" s="126" t="s">
        <v>76</v>
      </c>
      <c r="Q39" s="114">
        <v>1</v>
      </c>
      <c r="R39" s="114">
        <f>Q44/Q39</f>
        <v>11</v>
      </c>
      <c r="S39" s="115">
        <f>R39/R44</f>
        <v>0.10526315789473684</v>
      </c>
    </row>
    <row r="40" spans="2:19" x14ac:dyDescent="0.25">
      <c r="B40" s="112" t="s">
        <v>179</v>
      </c>
      <c r="C40" s="121" t="s">
        <v>72</v>
      </c>
      <c r="D40" s="121" t="s">
        <v>72</v>
      </c>
      <c r="E40" s="121" t="s">
        <v>99</v>
      </c>
      <c r="F40" s="112">
        <v>3</v>
      </c>
      <c r="G40" s="115">
        <f>F40/F44</f>
        <v>0.15789473684210525</v>
      </c>
      <c r="I40" s="29"/>
      <c r="J40" s="29"/>
      <c r="M40" s="112" t="s">
        <v>179</v>
      </c>
      <c r="N40" s="126">
        <v>19.21</v>
      </c>
      <c r="O40" s="126">
        <v>0.01</v>
      </c>
      <c r="P40" s="126" t="s">
        <v>76</v>
      </c>
      <c r="Q40" s="114">
        <v>1</v>
      </c>
      <c r="R40" s="114">
        <f>Q44/Q40</f>
        <v>11</v>
      </c>
      <c r="S40" s="115">
        <f>R40/R44</f>
        <v>0.10526315789473684</v>
      </c>
    </row>
    <row r="41" spans="2:19" x14ac:dyDescent="0.25">
      <c r="B41" s="112" t="s">
        <v>180</v>
      </c>
      <c r="C41" s="121" t="s">
        <v>71</v>
      </c>
      <c r="D41" s="121" t="s">
        <v>72</v>
      </c>
      <c r="E41" s="121" t="s">
        <v>99</v>
      </c>
      <c r="F41" s="112">
        <v>2</v>
      </c>
      <c r="G41" s="115">
        <f>F41/F44</f>
        <v>0.10526315789473684</v>
      </c>
      <c r="I41" s="29"/>
      <c r="J41" s="29"/>
      <c r="M41" s="112" t="s">
        <v>180</v>
      </c>
      <c r="N41" s="126">
        <v>163.5</v>
      </c>
      <c r="O41" s="126">
        <v>0.09</v>
      </c>
      <c r="P41" s="126" t="s">
        <v>76</v>
      </c>
      <c r="Q41" s="114">
        <v>1</v>
      </c>
      <c r="R41" s="114">
        <f>Q44/Q41</f>
        <v>11</v>
      </c>
      <c r="S41" s="115">
        <f>R41/R44</f>
        <v>0.10526315789473684</v>
      </c>
    </row>
    <row r="42" spans="2:19" x14ac:dyDescent="0.25">
      <c r="B42" s="112" t="s">
        <v>181</v>
      </c>
      <c r="C42" s="121" t="s">
        <v>71</v>
      </c>
      <c r="D42" s="121" t="s">
        <v>72</v>
      </c>
      <c r="E42" s="121" t="s">
        <v>99</v>
      </c>
      <c r="F42" s="112">
        <v>2</v>
      </c>
      <c r="G42" s="115">
        <f>F42/F44</f>
        <v>0.10526315789473684</v>
      </c>
      <c r="I42" s="29"/>
      <c r="J42" s="29"/>
      <c r="M42" s="112" t="s">
        <v>181</v>
      </c>
      <c r="N42" s="126">
        <v>899.11</v>
      </c>
      <c r="O42" s="126">
        <v>0.54</v>
      </c>
      <c r="P42" s="126" t="s">
        <v>76</v>
      </c>
      <c r="Q42" s="114">
        <v>1</v>
      </c>
      <c r="R42" s="114">
        <f>Q44/Q42</f>
        <v>11</v>
      </c>
      <c r="S42" s="115">
        <f>R42/R44</f>
        <v>0.10526315789473684</v>
      </c>
    </row>
    <row r="43" spans="2:19" x14ac:dyDescent="0.25">
      <c r="B43" s="112" t="s">
        <v>182</v>
      </c>
      <c r="C43" s="121" t="s">
        <v>71</v>
      </c>
      <c r="D43" s="121" t="s">
        <v>72</v>
      </c>
      <c r="E43" s="121" t="s">
        <v>99</v>
      </c>
      <c r="F43" s="112">
        <v>2</v>
      </c>
      <c r="G43" s="115">
        <f>F43/F44</f>
        <v>0.10526315789473684</v>
      </c>
      <c r="I43" s="29"/>
      <c r="J43" s="29"/>
      <c r="M43" s="112" t="s">
        <v>182</v>
      </c>
      <c r="N43" s="126">
        <v>814.84</v>
      </c>
      <c r="O43" s="126">
        <v>0.41</v>
      </c>
      <c r="P43" s="126" t="s">
        <v>76</v>
      </c>
      <c r="Q43" s="114">
        <v>1</v>
      </c>
      <c r="R43" s="114">
        <f>Q44/Q43</f>
        <v>11</v>
      </c>
      <c r="S43" s="115">
        <f>R43/R44</f>
        <v>0.10526315789473684</v>
      </c>
    </row>
    <row r="44" spans="2:19" x14ac:dyDescent="0.25">
      <c r="B44" s="112" t="s">
        <v>78</v>
      </c>
      <c r="C44" s="125"/>
      <c r="D44" s="125"/>
      <c r="E44" s="125"/>
      <c r="F44" s="112">
        <f>F34+F35+F36+F37+F38+F39+F40+F41+F42+F43</f>
        <v>19</v>
      </c>
      <c r="G44" s="115">
        <f>SUM(G34:G43)</f>
        <v>0.99999999999999989</v>
      </c>
      <c r="I44" s="29"/>
      <c r="J44" s="29"/>
      <c r="M44" s="121" t="s">
        <v>78</v>
      </c>
      <c r="N44" s="126"/>
      <c r="O44" s="126"/>
      <c r="P44" s="125"/>
      <c r="Q44" s="114">
        <f>Q34+Q35+Q36+Q37+Q38+Q39+Q40+Q41+Q42+Q43</f>
        <v>11</v>
      </c>
      <c r="R44" s="114">
        <f>R34+R35+R36+R37+R38+R39+R40+R41+R42+R43</f>
        <v>104.5</v>
      </c>
      <c r="S44" s="115">
        <f>SUM(S34:S43)</f>
        <v>1</v>
      </c>
    </row>
    <row r="45" spans="2:19" ht="16.5" customHeight="1" x14ac:dyDescent="0.25">
      <c r="B45" s="146" t="s">
        <v>186</v>
      </c>
      <c r="C45" s="146"/>
      <c r="D45" s="146"/>
      <c r="E45" s="146"/>
      <c r="F45" s="146"/>
      <c r="G45" s="146"/>
      <c r="M45" s="147" t="s">
        <v>186</v>
      </c>
      <c r="N45" s="147"/>
      <c r="O45" s="147"/>
      <c r="P45" s="147"/>
      <c r="Q45" s="147"/>
      <c r="R45" s="147"/>
      <c r="S45" s="147"/>
    </row>
    <row r="47" spans="2:19" ht="15" customHeight="1" x14ac:dyDescent="0.25">
      <c r="B47" s="139" t="s">
        <v>100</v>
      </c>
      <c r="C47" s="139"/>
      <c r="D47" s="139"/>
      <c r="E47" s="140" t="s">
        <v>8</v>
      </c>
      <c r="F47" s="140"/>
      <c r="M47" s="140" t="s">
        <v>101</v>
      </c>
      <c r="N47" s="140"/>
      <c r="O47" s="139" t="s">
        <v>8</v>
      </c>
      <c r="P47" s="139"/>
    </row>
    <row r="48" spans="2:19" ht="22.5" x14ac:dyDescent="0.25">
      <c r="B48" s="19" t="s">
        <v>58</v>
      </c>
      <c r="C48" s="20" t="s">
        <v>102</v>
      </c>
      <c r="D48" s="20" t="s">
        <v>103</v>
      </c>
      <c r="E48" s="19" t="s">
        <v>64</v>
      </c>
      <c r="F48" s="19" t="s">
        <v>65</v>
      </c>
      <c r="M48" s="112" t="s">
        <v>58</v>
      </c>
      <c r="N48" s="121" t="s">
        <v>96</v>
      </c>
      <c r="O48" s="112" t="s">
        <v>64</v>
      </c>
      <c r="P48" s="112" t="s">
        <v>65</v>
      </c>
    </row>
    <row r="49" spans="2:17" x14ac:dyDescent="0.25">
      <c r="B49" s="112" t="s">
        <v>173</v>
      </c>
      <c r="C49" s="121" t="s">
        <v>72</v>
      </c>
      <c r="D49" s="121" t="s">
        <v>71</v>
      </c>
      <c r="E49" s="112">
        <v>2</v>
      </c>
      <c r="F49" s="115">
        <f>E49/E59</f>
        <v>0.13333333333333333</v>
      </c>
      <c r="M49" s="112" t="s">
        <v>173</v>
      </c>
      <c r="N49" s="127">
        <v>1</v>
      </c>
      <c r="O49" s="112">
        <v>3</v>
      </c>
      <c r="P49" s="115">
        <f>O49/O59</f>
        <v>0.11538461538461539</v>
      </c>
    </row>
    <row r="50" spans="2:17" x14ac:dyDescent="0.25">
      <c r="B50" s="112" t="s">
        <v>174</v>
      </c>
      <c r="C50" s="121" t="s">
        <v>71</v>
      </c>
      <c r="D50" s="121" t="s">
        <v>71</v>
      </c>
      <c r="E50" s="112">
        <v>1</v>
      </c>
      <c r="F50" s="115">
        <f>E50/E59</f>
        <v>6.6666666666666666E-2</v>
      </c>
      <c r="M50" s="112" t="s">
        <v>174</v>
      </c>
      <c r="N50" s="127">
        <v>0.53159999999999996</v>
      </c>
      <c r="O50" s="112">
        <v>2</v>
      </c>
      <c r="P50" s="115">
        <f>O50/O59</f>
        <v>7.6923076923076927E-2</v>
      </c>
    </row>
    <row r="51" spans="2:17" x14ac:dyDescent="0.25">
      <c r="B51" s="112" t="s">
        <v>175</v>
      </c>
      <c r="C51" s="121" t="s">
        <v>72</v>
      </c>
      <c r="D51" s="121" t="s">
        <v>71</v>
      </c>
      <c r="E51" s="112">
        <v>1</v>
      </c>
      <c r="F51" s="115">
        <f>E51/E59</f>
        <v>6.6666666666666666E-2</v>
      </c>
      <c r="M51" s="112" t="s">
        <v>175</v>
      </c>
      <c r="N51" s="127">
        <v>1</v>
      </c>
      <c r="O51" s="112">
        <v>3</v>
      </c>
      <c r="P51" s="115">
        <f>O51/O59</f>
        <v>0.11538461538461539</v>
      </c>
    </row>
    <row r="52" spans="2:17" x14ac:dyDescent="0.25">
      <c r="B52" s="112" t="s">
        <v>176</v>
      </c>
      <c r="C52" s="122" t="s">
        <v>72</v>
      </c>
      <c r="D52" s="121" t="s">
        <v>72</v>
      </c>
      <c r="E52" s="112">
        <v>2</v>
      </c>
      <c r="F52" s="115">
        <f>E52/E59</f>
        <v>0.13333333333333333</v>
      </c>
      <c r="M52" s="112" t="s">
        <v>176</v>
      </c>
      <c r="N52" s="127">
        <v>1</v>
      </c>
      <c r="O52" s="112">
        <v>3</v>
      </c>
      <c r="P52" s="115">
        <f>O52/O59</f>
        <v>0.11538461538461539</v>
      </c>
      <c r="Q52" s="110"/>
    </row>
    <row r="53" spans="2:17" x14ac:dyDescent="0.25">
      <c r="B53" s="112" t="s">
        <v>177</v>
      </c>
      <c r="C53" s="121" t="s">
        <v>72</v>
      </c>
      <c r="D53" s="121" t="s">
        <v>71</v>
      </c>
      <c r="E53" s="112">
        <v>1</v>
      </c>
      <c r="F53" s="115">
        <f>E53/E59</f>
        <v>6.6666666666666666E-2</v>
      </c>
      <c r="M53" s="112" t="s">
        <v>177</v>
      </c>
      <c r="N53" s="127">
        <v>1</v>
      </c>
      <c r="O53" s="112">
        <v>3</v>
      </c>
      <c r="P53" s="115">
        <f>O53/O59</f>
        <v>0.11538461538461539</v>
      </c>
    </row>
    <row r="54" spans="2:17" x14ac:dyDescent="0.25">
      <c r="B54" s="116" t="s">
        <v>178</v>
      </c>
      <c r="C54" s="121" t="s">
        <v>72</v>
      </c>
      <c r="D54" s="121" t="s">
        <v>71</v>
      </c>
      <c r="E54" s="112">
        <v>1</v>
      </c>
      <c r="F54" s="115">
        <f>E54/E59</f>
        <v>6.6666666666666666E-2</v>
      </c>
      <c r="M54" s="116" t="s">
        <v>178</v>
      </c>
      <c r="N54" s="127">
        <v>0.71760000000000002</v>
      </c>
      <c r="O54" s="112">
        <v>3</v>
      </c>
      <c r="P54" s="115">
        <f>O54/O59</f>
        <v>0.11538461538461539</v>
      </c>
    </row>
    <row r="55" spans="2:17" x14ac:dyDescent="0.25">
      <c r="B55" s="112" t="s">
        <v>179</v>
      </c>
      <c r="C55" s="121" t="s">
        <v>72</v>
      </c>
      <c r="D55" s="121" t="s">
        <v>72</v>
      </c>
      <c r="E55" s="112">
        <v>2</v>
      </c>
      <c r="F55" s="115">
        <f>E55/E59</f>
        <v>0.13333333333333333</v>
      </c>
      <c r="M55" s="112" t="s">
        <v>179</v>
      </c>
      <c r="N55" s="127">
        <v>1</v>
      </c>
      <c r="O55" s="112">
        <v>3</v>
      </c>
      <c r="P55" s="115">
        <f>O55/O59</f>
        <v>0.11538461538461539</v>
      </c>
    </row>
    <row r="56" spans="2:17" x14ac:dyDescent="0.25">
      <c r="B56" s="112" t="s">
        <v>180</v>
      </c>
      <c r="C56" s="121" t="s">
        <v>71</v>
      </c>
      <c r="D56" s="121" t="s">
        <v>72</v>
      </c>
      <c r="E56" s="112">
        <v>2</v>
      </c>
      <c r="F56" s="115">
        <f>E56/E59</f>
        <v>0.13333333333333333</v>
      </c>
      <c r="M56" s="112" t="s">
        <v>180</v>
      </c>
      <c r="N56" s="127">
        <v>0</v>
      </c>
      <c r="O56" s="112">
        <v>1</v>
      </c>
      <c r="P56" s="115">
        <f>O56/O59</f>
        <v>3.8461538461538464E-2</v>
      </c>
    </row>
    <row r="57" spans="2:17" x14ac:dyDescent="0.25">
      <c r="B57" s="112" t="s">
        <v>181</v>
      </c>
      <c r="C57" s="121" t="s">
        <v>72</v>
      </c>
      <c r="D57" s="121" t="s">
        <v>72</v>
      </c>
      <c r="E57" s="112">
        <v>2</v>
      </c>
      <c r="F57" s="115">
        <f>E57/E59</f>
        <v>0.13333333333333333</v>
      </c>
      <c r="M57" s="112" t="s">
        <v>181</v>
      </c>
      <c r="N57" s="127">
        <v>0.73</v>
      </c>
      <c r="O57" s="112">
        <v>3</v>
      </c>
      <c r="P57" s="115">
        <f>O57/O59</f>
        <v>0.11538461538461539</v>
      </c>
    </row>
    <row r="58" spans="2:17" x14ac:dyDescent="0.25">
      <c r="B58" s="112" t="s">
        <v>182</v>
      </c>
      <c r="C58" s="122" t="s">
        <v>71</v>
      </c>
      <c r="D58" s="121" t="s">
        <v>72</v>
      </c>
      <c r="E58" s="112">
        <v>1</v>
      </c>
      <c r="F58" s="115">
        <f>E58/E59</f>
        <v>6.6666666666666666E-2</v>
      </c>
      <c r="M58" s="112" t="s">
        <v>182</v>
      </c>
      <c r="N58" s="127">
        <v>0.37440000000000001</v>
      </c>
      <c r="O58" s="112">
        <v>2</v>
      </c>
      <c r="P58" s="115">
        <f>O58/O59</f>
        <v>7.6923076923076927E-2</v>
      </c>
    </row>
    <row r="59" spans="2:17" x14ac:dyDescent="0.25">
      <c r="B59" s="112" t="s">
        <v>78</v>
      </c>
      <c r="C59" s="125"/>
      <c r="D59" s="125"/>
      <c r="E59" s="112">
        <f>E49+E50+E51+E52+E53+E54+E55+E56+E57+E58</f>
        <v>15</v>
      </c>
      <c r="F59" s="115">
        <f>SUM(F49:F58)</f>
        <v>0.99999999999999989</v>
      </c>
      <c r="M59" s="121" t="s">
        <v>78</v>
      </c>
      <c r="N59" s="125"/>
      <c r="O59" s="112">
        <f>O49+O50+O51+O52+O53+O54+O55+O56+O57+O58</f>
        <v>26</v>
      </c>
      <c r="P59" s="115">
        <f>SUM(P49:P58)</f>
        <v>1.0000000000000002</v>
      </c>
    </row>
    <row r="60" spans="2:17" ht="15.75" customHeight="1" x14ac:dyDescent="0.25">
      <c r="B60" s="146" t="s">
        <v>186</v>
      </c>
      <c r="C60" s="146"/>
      <c r="D60" s="146"/>
      <c r="E60" s="146"/>
      <c r="F60" s="146"/>
      <c r="G60" s="30"/>
      <c r="H60" s="30"/>
      <c r="I60" s="30"/>
      <c r="J60" s="30"/>
      <c r="M60" s="141" t="s">
        <v>186</v>
      </c>
      <c r="N60" s="141"/>
      <c r="O60" s="141"/>
      <c r="P60" s="141"/>
    </row>
    <row r="62" spans="2:17" ht="15" customHeight="1" x14ac:dyDescent="0.25">
      <c r="M62" s="140" t="s">
        <v>104</v>
      </c>
      <c r="N62" s="140"/>
      <c r="O62" s="139" t="s">
        <v>10</v>
      </c>
      <c r="P62" s="139"/>
      <c r="Q62" s="139"/>
    </row>
    <row r="63" spans="2:17" x14ac:dyDescent="0.25">
      <c r="M63" s="112" t="s">
        <v>58</v>
      </c>
      <c r="N63" s="121" t="s">
        <v>105</v>
      </c>
      <c r="O63" s="112" t="s">
        <v>64</v>
      </c>
      <c r="P63" s="122" t="s">
        <v>69</v>
      </c>
      <c r="Q63" s="122" t="s">
        <v>65</v>
      </c>
    </row>
    <row r="64" spans="2:17" x14ac:dyDescent="0.25">
      <c r="M64" s="112" t="s">
        <v>173</v>
      </c>
      <c r="N64" s="122" t="s">
        <v>71</v>
      </c>
      <c r="O64" s="114">
        <v>1</v>
      </c>
      <c r="P64" s="112">
        <f>O74/O64</f>
        <v>11</v>
      </c>
      <c r="Q64" s="115">
        <f>P64/P74</f>
        <v>0.10526315789473684</v>
      </c>
    </row>
    <row r="65" spans="13:17" x14ac:dyDescent="0.25">
      <c r="M65" s="112" t="s">
        <v>174</v>
      </c>
      <c r="N65" s="122" t="s">
        <v>71</v>
      </c>
      <c r="O65" s="114">
        <v>1</v>
      </c>
      <c r="P65" s="112">
        <f>O74/O65</f>
        <v>11</v>
      </c>
      <c r="Q65" s="115">
        <f>P65/P74</f>
        <v>0.10526315789473684</v>
      </c>
    </row>
    <row r="66" spans="13:17" x14ac:dyDescent="0.25">
      <c r="M66" s="112" t="s">
        <v>175</v>
      </c>
      <c r="N66" s="122" t="s">
        <v>71</v>
      </c>
      <c r="O66" s="114">
        <v>1</v>
      </c>
      <c r="P66" s="112">
        <f>O74/O66</f>
        <v>11</v>
      </c>
      <c r="Q66" s="115">
        <f>P66/P74</f>
        <v>0.10526315789473684</v>
      </c>
    </row>
    <row r="67" spans="13:17" x14ac:dyDescent="0.25">
      <c r="M67" s="112" t="s">
        <v>176</v>
      </c>
      <c r="N67" s="122" t="s">
        <v>71</v>
      </c>
      <c r="O67" s="114">
        <v>1</v>
      </c>
      <c r="P67" s="112">
        <f>O74/O67</f>
        <v>11</v>
      </c>
      <c r="Q67" s="115">
        <f>P67/P74</f>
        <v>0.10526315789473684</v>
      </c>
    </row>
    <row r="68" spans="13:17" x14ac:dyDescent="0.25">
      <c r="M68" s="112" t="s">
        <v>177</v>
      </c>
      <c r="N68" s="122" t="s">
        <v>71</v>
      </c>
      <c r="O68" s="114">
        <v>1</v>
      </c>
      <c r="P68" s="112">
        <f>O74/O68</f>
        <v>11</v>
      </c>
      <c r="Q68" s="115">
        <f>P68/P74</f>
        <v>0.10526315789473684</v>
      </c>
    </row>
    <row r="69" spans="13:17" x14ac:dyDescent="0.25">
      <c r="M69" s="116" t="s">
        <v>178</v>
      </c>
      <c r="N69" s="122" t="s">
        <v>72</v>
      </c>
      <c r="O69" s="114">
        <v>1</v>
      </c>
      <c r="P69" s="112">
        <f>O74/O69</f>
        <v>11</v>
      </c>
      <c r="Q69" s="115">
        <f>P69/P74</f>
        <v>0.10526315789473684</v>
      </c>
    </row>
    <row r="70" spans="13:17" x14ac:dyDescent="0.25">
      <c r="M70" s="112" t="s">
        <v>179</v>
      </c>
      <c r="N70" s="122" t="s">
        <v>72</v>
      </c>
      <c r="O70" s="114">
        <v>2</v>
      </c>
      <c r="P70" s="112">
        <f>O74/O70</f>
        <v>5.5</v>
      </c>
      <c r="Q70" s="115">
        <f>P70/P74</f>
        <v>5.2631578947368418E-2</v>
      </c>
    </row>
    <row r="71" spans="13:17" x14ac:dyDescent="0.25">
      <c r="M71" s="112" t="s">
        <v>180</v>
      </c>
      <c r="N71" s="122" t="s">
        <v>72</v>
      </c>
      <c r="O71" s="114">
        <v>1</v>
      </c>
      <c r="P71" s="112">
        <f>O74/O71</f>
        <v>11</v>
      </c>
      <c r="Q71" s="115">
        <f>P71/P74</f>
        <v>0.10526315789473684</v>
      </c>
    </row>
    <row r="72" spans="13:17" x14ac:dyDescent="0.25">
      <c r="M72" s="112" t="s">
        <v>181</v>
      </c>
      <c r="N72" s="122" t="s">
        <v>72</v>
      </c>
      <c r="O72" s="114">
        <v>1</v>
      </c>
      <c r="P72" s="112">
        <f>O74/O72</f>
        <v>11</v>
      </c>
      <c r="Q72" s="115">
        <f>P72/P74</f>
        <v>0.10526315789473684</v>
      </c>
    </row>
    <row r="73" spans="13:17" x14ac:dyDescent="0.25">
      <c r="M73" s="112" t="s">
        <v>182</v>
      </c>
      <c r="N73" s="122" t="s">
        <v>71</v>
      </c>
      <c r="O73" s="114">
        <v>1</v>
      </c>
      <c r="P73" s="112">
        <f>O74/O73</f>
        <v>11</v>
      </c>
      <c r="Q73" s="115">
        <f>P73/P74</f>
        <v>0.10526315789473684</v>
      </c>
    </row>
    <row r="74" spans="13:17" x14ac:dyDescent="0.25">
      <c r="M74" s="121" t="s">
        <v>78</v>
      </c>
      <c r="N74" s="125"/>
      <c r="O74" s="114">
        <f>O64+O65+O66+O67+O68+O69+O70+O71+O72+O73</f>
        <v>11</v>
      </c>
      <c r="P74" s="112">
        <f>P64+P65+P66+P67+P68+P69+P70+P71+P72+P73</f>
        <v>104.5</v>
      </c>
      <c r="Q74" s="115">
        <f>SUM(Q64:Q73)</f>
        <v>0.99999999999999989</v>
      </c>
    </row>
    <row r="75" spans="13:17" x14ac:dyDescent="0.25">
      <c r="M75" s="141" t="s">
        <v>186</v>
      </c>
      <c r="N75" s="141"/>
      <c r="O75" s="141"/>
      <c r="P75" s="141"/>
      <c r="Q75" s="141"/>
    </row>
    <row r="78" spans="13:17" ht="15" customHeight="1" x14ac:dyDescent="0.25">
      <c r="M78" s="140" t="s">
        <v>106</v>
      </c>
      <c r="N78" s="140"/>
      <c r="O78" s="139" t="s">
        <v>10</v>
      </c>
      <c r="P78" s="139"/>
    </row>
    <row r="79" spans="13:17" x14ac:dyDescent="0.25">
      <c r="M79" s="112" t="s">
        <v>58</v>
      </c>
      <c r="N79" s="112" t="s">
        <v>107</v>
      </c>
      <c r="O79" s="122" t="s">
        <v>69</v>
      </c>
      <c r="P79" s="122" t="s">
        <v>65</v>
      </c>
    </row>
    <row r="80" spans="13:17" x14ac:dyDescent="0.25">
      <c r="M80" s="112" t="s">
        <v>173</v>
      </c>
      <c r="N80" s="114">
        <v>4657227.63</v>
      </c>
      <c r="O80" s="114">
        <f>N90/N80</f>
        <v>13.043131054773029</v>
      </c>
      <c r="P80" s="115">
        <f>O80/O90</f>
        <v>4.723410126147945E-2</v>
      </c>
    </row>
    <row r="81" spans="13:16" x14ac:dyDescent="0.25">
      <c r="M81" s="112" t="s">
        <v>190</v>
      </c>
      <c r="N81" s="114">
        <v>22776069.77</v>
      </c>
      <c r="O81" s="114">
        <f>N90/N81</f>
        <v>2.6670461999555068</v>
      </c>
      <c r="P81" s="115">
        <f>O81/O90</f>
        <v>9.6583810857012471E-3</v>
      </c>
    </row>
    <row r="82" spans="13:16" x14ac:dyDescent="0.25">
      <c r="M82" s="112" t="s">
        <v>175</v>
      </c>
      <c r="N82" s="114">
        <v>814791.56</v>
      </c>
      <c r="O82" s="114">
        <f>N90/N82</f>
        <v>74.552601318059786</v>
      </c>
      <c r="P82" s="115">
        <f>O82/O90</f>
        <v>0.26998311258057206</v>
      </c>
    </row>
    <row r="83" spans="13:16" x14ac:dyDescent="0.25">
      <c r="M83" s="112" t="s">
        <v>176</v>
      </c>
      <c r="N83" s="114">
        <v>3718229.87</v>
      </c>
      <c r="O83" s="114">
        <f>N90/N83</f>
        <v>16.33702929991254</v>
      </c>
      <c r="P83" s="115">
        <f>O83/O90</f>
        <v>5.9162550236083154E-2</v>
      </c>
    </row>
    <row r="84" spans="13:16" x14ac:dyDescent="0.25">
      <c r="M84" s="112" t="s">
        <v>177</v>
      </c>
      <c r="N84" s="114">
        <v>895535.16</v>
      </c>
      <c r="O84" s="114">
        <f>N90/N84</f>
        <v>67.830759799537063</v>
      </c>
      <c r="P84" s="115">
        <f>O84/O90</f>
        <v>0.24564078698281364</v>
      </c>
    </row>
    <row r="85" spans="13:16" x14ac:dyDescent="0.25">
      <c r="M85" s="116" t="s">
        <v>178</v>
      </c>
      <c r="N85" s="114">
        <v>8107217.4500000002</v>
      </c>
      <c r="O85" s="114">
        <f>N90/N85</f>
        <v>7.4926854626305843</v>
      </c>
      <c r="P85" s="115">
        <f>O85/O90</f>
        <v>2.7133842508835129E-2</v>
      </c>
    </row>
    <row r="86" spans="13:16" x14ac:dyDescent="0.25">
      <c r="M86" s="112" t="s">
        <v>179</v>
      </c>
      <c r="N86" s="114">
        <v>3451661.4</v>
      </c>
      <c r="O86" s="114">
        <f>N90/N86</f>
        <v>17.598722264588293</v>
      </c>
      <c r="P86" s="115">
        <f>O86/O90</f>
        <v>6.37316167435137E-2</v>
      </c>
    </row>
    <row r="87" spans="13:16" x14ac:dyDescent="0.25">
      <c r="M87" s="112" t="s">
        <v>180</v>
      </c>
      <c r="N87" s="114">
        <v>1618875.78</v>
      </c>
      <c r="O87" s="114">
        <f>N90/N87</f>
        <v>37.522848312672885</v>
      </c>
      <c r="P87" s="115">
        <f>O87/O90</f>
        <v>0.13588439841454664</v>
      </c>
    </row>
    <row r="88" spans="13:16" x14ac:dyDescent="0.25">
      <c r="M88" s="112" t="s">
        <v>181</v>
      </c>
      <c r="N88" s="114">
        <v>1765910.06</v>
      </c>
      <c r="O88" s="114">
        <f>N90/N88</f>
        <v>34.398598040717879</v>
      </c>
      <c r="P88" s="115">
        <f>O88/O90</f>
        <v>0.12457030879204568</v>
      </c>
    </row>
    <row r="89" spans="13:16" x14ac:dyDescent="0.25">
      <c r="M89" s="112" t="s">
        <v>182</v>
      </c>
      <c r="N89" s="114">
        <v>12939311.65</v>
      </c>
      <c r="O89" s="114">
        <f>N90/N89</f>
        <v>4.6945951974191766</v>
      </c>
      <c r="P89" s="115">
        <f>O89/O90</f>
        <v>1.7000901394409181E-2</v>
      </c>
    </row>
    <row r="90" spans="13:16" x14ac:dyDescent="0.25">
      <c r="M90" s="112" t="s">
        <v>78</v>
      </c>
      <c r="N90" s="114">
        <f>SUM(N80:N89)</f>
        <v>60744830.329999998</v>
      </c>
      <c r="O90" s="114">
        <f>O80+O81+O82+O83+O84+O85+O86+O87+O88+O89</f>
        <v>276.13801695026677</v>
      </c>
      <c r="P90" s="115">
        <f>SUM(P80:P89)</f>
        <v>0.99999999999999978</v>
      </c>
    </row>
    <row r="91" spans="13:16" x14ac:dyDescent="0.25">
      <c r="M91" s="141" t="s">
        <v>185</v>
      </c>
      <c r="N91" s="141"/>
      <c r="O91" s="141"/>
      <c r="P91" s="141"/>
    </row>
    <row r="93" spans="13:16" x14ac:dyDescent="0.25">
      <c r="M93" s="110"/>
    </row>
  </sheetData>
  <mergeCells count="30">
    <mergeCell ref="M91:P91"/>
    <mergeCell ref="M62:N62"/>
    <mergeCell ref="O62:Q62"/>
    <mergeCell ref="M75:Q75"/>
    <mergeCell ref="M78:N78"/>
    <mergeCell ref="O78:P78"/>
    <mergeCell ref="B47:D47"/>
    <mergeCell ref="E47:F47"/>
    <mergeCell ref="M47:N47"/>
    <mergeCell ref="O47:P47"/>
    <mergeCell ref="B60:F60"/>
    <mergeCell ref="M60:P60"/>
    <mergeCell ref="B32:D32"/>
    <mergeCell ref="E32:G32"/>
    <mergeCell ref="M32:O32"/>
    <mergeCell ref="P32:S32"/>
    <mergeCell ref="B45:G45"/>
    <mergeCell ref="M45:S45"/>
    <mergeCell ref="B17:F17"/>
    <mergeCell ref="G17:J17"/>
    <mergeCell ref="M17:O17"/>
    <mergeCell ref="P17:Q17"/>
    <mergeCell ref="B30:J30"/>
    <mergeCell ref="M30:Q30"/>
    <mergeCell ref="B2:F2"/>
    <mergeCell ref="G2:I2"/>
    <mergeCell ref="M2:P2"/>
    <mergeCell ref="Q2:T2"/>
    <mergeCell ref="B15:I15"/>
    <mergeCell ref="M15:T15"/>
  </mergeCells>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I2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5"/>
  <sheetViews>
    <sheetView tabSelected="1" zoomScale="110" zoomScaleNormal="110" workbookViewId="0">
      <selection activeCell="K20" sqref="K20"/>
    </sheetView>
  </sheetViews>
  <sheetFormatPr defaultColWidth="8.28515625" defaultRowHeight="15" x14ac:dyDescent="0.25"/>
  <cols>
    <col min="1" max="1" width="23" customWidth="1"/>
    <col min="2" max="2" width="10.7109375" customWidth="1"/>
    <col min="3" max="3" width="12.42578125" bestFit="1" customWidth="1"/>
    <col min="4" max="4" width="11.85546875" customWidth="1"/>
    <col min="5" max="5" width="10.7109375" customWidth="1"/>
    <col min="6" max="6" width="17.28515625" customWidth="1"/>
    <col min="7" max="7" width="10.7109375" customWidth="1"/>
    <col min="8" max="8" width="12.85546875" customWidth="1"/>
    <col min="9" max="9" width="10.7109375" customWidth="1"/>
    <col min="10" max="10" width="15.7109375" style="8" customWidth="1"/>
    <col min="11" max="11" width="10.7109375" style="46" customWidth="1"/>
    <col min="12" max="12" width="10.7109375" customWidth="1"/>
    <col min="13" max="13" width="17" customWidth="1"/>
    <col min="16" max="17" width="23.7109375" customWidth="1"/>
    <col min="18" max="18" width="31.28515625" customWidth="1"/>
  </cols>
  <sheetData>
    <row r="1" spans="1:18" ht="15.75" x14ac:dyDescent="0.25">
      <c r="A1" s="150" t="s">
        <v>130</v>
      </c>
      <c r="B1" s="150"/>
      <c r="C1" s="150"/>
      <c r="D1" s="150"/>
      <c r="E1" s="150"/>
      <c r="F1" s="150"/>
      <c r="G1" s="150"/>
      <c r="H1" s="150"/>
      <c r="I1" s="150"/>
      <c r="J1" s="150"/>
      <c r="K1" s="150"/>
      <c r="L1" s="150"/>
      <c r="M1" s="150"/>
    </row>
    <row r="3" spans="1:18" ht="31.5" customHeight="1" x14ac:dyDescent="0.25">
      <c r="A3" s="47" t="s">
        <v>131</v>
      </c>
      <c r="B3" s="47" t="s">
        <v>110</v>
      </c>
      <c r="C3" s="47" t="s">
        <v>111</v>
      </c>
      <c r="D3" s="47" t="s">
        <v>112</v>
      </c>
      <c r="E3" s="47" t="s">
        <v>113</v>
      </c>
      <c r="F3" s="48" t="s">
        <v>114</v>
      </c>
      <c r="G3" s="48" t="s">
        <v>115</v>
      </c>
      <c r="H3" s="48" t="s">
        <v>116</v>
      </c>
      <c r="I3" s="48" t="s">
        <v>117</v>
      </c>
      <c r="J3" s="47" t="s">
        <v>118</v>
      </c>
      <c r="K3" s="47" t="s">
        <v>119</v>
      </c>
      <c r="L3" s="151" t="s">
        <v>132</v>
      </c>
      <c r="M3" s="151" t="s">
        <v>133</v>
      </c>
      <c r="P3" s="152" t="s">
        <v>133</v>
      </c>
      <c r="Q3" s="152"/>
      <c r="R3" s="152"/>
    </row>
    <row r="4" spans="1:18" ht="36" customHeight="1" x14ac:dyDescent="0.25">
      <c r="A4" s="47" t="s">
        <v>134</v>
      </c>
      <c r="B4" s="49">
        <f>'Matriz Julgamento SVDS'!N6</f>
        <v>1.5011791351079645E-2</v>
      </c>
      <c r="C4" s="49">
        <f>'Matriz Julgamento SVDS'!N7</f>
        <v>2.8048455179192723E-2</v>
      </c>
      <c r="D4" s="49">
        <f>'Matriz Julgamento SVDS'!N8</f>
        <v>0.10911389430278871</v>
      </c>
      <c r="E4" s="49">
        <f>'Matriz Julgamento SVDS'!N9</f>
        <v>6.254038858484795E-2</v>
      </c>
      <c r="F4" s="50">
        <f>'Matriz Julgamento SVDS'!N10</f>
        <v>9.1846212838452651E-2</v>
      </c>
      <c r="G4" s="50">
        <f>'Matriz Julgamento SVDS'!N11</f>
        <v>3.9715812133239423E-2</v>
      </c>
      <c r="H4" s="50">
        <f>'Matriz Julgamento SVDS'!N12</f>
        <v>0.33228632433218458</v>
      </c>
      <c r="I4" s="50">
        <f>'Matriz Julgamento SVDS'!N13</f>
        <v>9.4644336348971361E-2</v>
      </c>
      <c r="J4" s="49">
        <f>'Matriz Julgamento SVDS'!N14</f>
        <v>0.20100242985886119</v>
      </c>
      <c r="K4" s="49">
        <f>'Matriz Julgamento SVDS'!N15</f>
        <v>2.5790355070381688E-2</v>
      </c>
      <c r="L4" s="151"/>
      <c r="M4" s="151"/>
      <c r="O4" s="51"/>
      <c r="P4" s="52" t="s">
        <v>135</v>
      </c>
      <c r="Q4" s="53" t="s">
        <v>136</v>
      </c>
      <c r="R4" s="54" t="s">
        <v>137</v>
      </c>
    </row>
    <row r="5" spans="1:18" ht="15" customHeight="1" x14ac:dyDescent="0.25">
      <c r="A5" s="153" t="s">
        <v>138</v>
      </c>
      <c r="B5" s="153"/>
      <c r="C5" s="153"/>
      <c r="D5" s="153"/>
      <c r="E5" s="153"/>
      <c r="F5" s="153"/>
      <c r="G5" s="153"/>
      <c r="H5" s="153"/>
      <c r="I5" s="153"/>
      <c r="J5" s="153"/>
      <c r="K5" s="153"/>
      <c r="L5" s="55"/>
      <c r="M5" s="56"/>
      <c r="O5" s="51"/>
      <c r="P5" s="163">
        <v>1</v>
      </c>
      <c r="Q5" s="164">
        <f>L14</f>
        <v>0.1136550070928115</v>
      </c>
      <c r="R5" s="165" t="str">
        <f>A14</f>
        <v>Ribeirão das Pedras TR 3</v>
      </c>
    </row>
    <row r="6" spans="1:18" x14ac:dyDescent="0.25">
      <c r="A6" s="19" t="s">
        <v>173</v>
      </c>
      <c r="B6" s="123">
        <f>C19</f>
        <v>0.1</v>
      </c>
      <c r="C6" s="129">
        <f t="shared" ref="C6:C15" si="0">D33</f>
        <v>0.11764705882352941</v>
      </c>
      <c r="D6" s="130">
        <f t="shared" ref="D6:D14" si="1">C47</f>
        <v>0.10526315789473684</v>
      </c>
      <c r="E6" s="130">
        <f t="shared" ref="E6:E15" si="2">C61</f>
        <v>0.13333333333333333</v>
      </c>
      <c r="F6" s="130">
        <f t="shared" ref="F6:F15" si="3">D75</f>
        <v>7.6923076923076927E-2</v>
      </c>
      <c r="G6" s="130">
        <f t="shared" ref="G6:G15" si="4">H19</f>
        <v>0.10714285714285714</v>
      </c>
      <c r="H6" s="130">
        <f t="shared" ref="H6:H15" si="5">I33</f>
        <v>0.10526315789473684</v>
      </c>
      <c r="I6" s="129">
        <f t="shared" ref="I6:I15" si="6">H47</f>
        <v>0.11538461538461539</v>
      </c>
      <c r="J6" s="131">
        <f t="shared" ref="J6:J11" si="7">I61</f>
        <v>0.10526315789473684</v>
      </c>
      <c r="K6" s="131">
        <f>I75</f>
        <v>4.723410126147945E-2</v>
      </c>
      <c r="L6" s="166">
        <f>SUMPRODUCT(B6:K6,B4:K4)</f>
        <v>0.10422009076175889</v>
      </c>
      <c r="M6" s="167">
        <v>4</v>
      </c>
      <c r="O6" s="51"/>
      <c r="P6" s="163">
        <v>2</v>
      </c>
      <c r="Q6" s="164">
        <f>L13</f>
        <v>0.10591587834861445</v>
      </c>
      <c r="R6" s="165" t="str">
        <f>A13</f>
        <v>Ribeirão das Pedras TR 2</v>
      </c>
    </row>
    <row r="7" spans="1:18" x14ac:dyDescent="0.25">
      <c r="A7" s="19" t="s">
        <v>174</v>
      </c>
      <c r="B7" s="123">
        <f>C20</f>
        <v>0.125</v>
      </c>
      <c r="C7" s="129">
        <f t="shared" si="0"/>
        <v>0.11764705882352941</v>
      </c>
      <c r="D7" s="130">
        <f t="shared" si="1"/>
        <v>0.10526315789473684</v>
      </c>
      <c r="E7" s="130">
        <f t="shared" si="2"/>
        <v>6.6666666666666666E-2</v>
      </c>
      <c r="F7" s="130">
        <f t="shared" si="3"/>
        <v>5.128205128205128E-2</v>
      </c>
      <c r="G7" s="130">
        <f t="shared" si="4"/>
        <v>0.10714285714285714</v>
      </c>
      <c r="H7" s="130">
        <f t="shared" si="5"/>
        <v>5.2631578947368418E-2</v>
      </c>
      <c r="I7" s="129">
        <f t="shared" si="6"/>
        <v>7.6923076923076927E-2</v>
      </c>
      <c r="J7" s="131">
        <f t="shared" si="7"/>
        <v>0.10526315789473684</v>
      </c>
      <c r="K7" s="131">
        <f t="shared" ref="K7:K15" si="8">I76</f>
        <v>9.6583810857012471E-3</v>
      </c>
      <c r="L7" s="166">
        <f>SUMPRODUCT(B7:K7,B4:K4)</f>
        <v>7.5972983347892542E-2</v>
      </c>
      <c r="M7" s="112">
        <v>10</v>
      </c>
      <c r="O7" s="51"/>
      <c r="P7" s="163">
        <v>3</v>
      </c>
      <c r="Q7" s="164">
        <f>L12</f>
        <v>0.10559980778119693</v>
      </c>
      <c r="R7" s="165" t="str">
        <f>A12</f>
        <v>Piçarrão TR 6</v>
      </c>
    </row>
    <row r="8" spans="1:18" x14ac:dyDescent="0.25">
      <c r="A8" s="19" t="s">
        <v>175</v>
      </c>
      <c r="B8" s="123">
        <f t="shared" ref="B8:B15" si="9">C21</f>
        <v>0.125</v>
      </c>
      <c r="C8" s="129">
        <f t="shared" si="0"/>
        <v>0.11764705882352941</v>
      </c>
      <c r="D8" s="130">
        <f t="shared" si="1"/>
        <v>5.2631578947368418E-2</v>
      </c>
      <c r="E8" s="130">
        <f t="shared" si="2"/>
        <v>6.6666666666666666E-2</v>
      </c>
      <c r="F8" s="130">
        <f t="shared" si="3"/>
        <v>7.6923076923076927E-2</v>
      </c>
      <c r="G8" s="130">
        <f t="shared" si="4"/>
        <v>7.1428571428571425E-2</v>
      </c>
      <c r="H8" s="130">
        <f t="shared" si="5"/>
        <v>0.10526315789473684</v>
      </c>
      <c r="I8" s="129">
        <f t="shared" si="6"/>
        <v>0.11538461538461539</v>
      </c>
      <c r="J8" s="131">
        <f t="shared" si="7"/>
        <v>0.10526315789473684</v>
      </c>
      <c r="K8" s="131">
        <f t="shared" si="8"/>
        <v>0.26998311258057206</v>
      </c>
      <c r="L8" s="166">
        <f>SUMPRODUCT(B8:K8,B4:K4)</f>
        <v>9.9009543995888433E-2</v>
      </c>
      <c r="M8" s="112">
        <v>7</v>
      </c>
      <c r="O8" s="51"/>
      <c r="P8" s="163">
        <v>4</v>
      </c>
      <c r="Q8" s="164">
        <f>L6</f>
        <v>0.10422009076175889</v>
      </c>
      <c r="R8" s="165" t="str">
        <f>A6</f>
        <v>Banhado</v>
      </c>
    </row>
    <row r="9" spans="1:18" x14ac:dyDescent="0.25">
      <c r="A9" s="19" t="s">
        <v>176</v>
      </c>
      <c r="B9" s="123">
        <f t="shared" si="9"/>
        <v>0.125</v>
      </c>
      <c r="C9" s="129">
        <f t="shared" si="0"/>
        <v>5.8823529411764705E-2</v>
      </c>
      <c r="D9" s="130">
        <f t="shared" si="1"/>
        <v>0.10526315789473684</v>
      </c>
      <c r="E9" s="130">
        <f>C64</f>
        <v>0.13333333333333333</v>
      </c>
      <c r="F9" s="130">
        <f t="shared" si="3"/>
        <v>5.128205128205128E-2</v>
      </c>
      <c r="G9" s="130">
        <f t="shared" si="4"/>
        <v>0.10714285714285714</v>
      </c>
      <c r="H9" s="130">
        <f t="shared" si="5"/>
        <v>0.10526315789473684</v>
      </c>
      <c r="I9" s="129">
        <f t="shared" si="6"/>
        <v>0.11538461538461539</v>
      </c>
      <c r="J9" s="131">
        <f t="shared" si="7"/>
        <v>0.10526315789473684</v>
      </c>
      <c r="K9" s="131">
        <f t="shared" si="8"/>
        <v>5.9162550236083154E-2</v>
      </c>
      <c r="L9" s="166">
        <f>SUMPRODUCT(B9:K9,B4:K4)</f>
        <v>0.10089808425342017</v>
      </c>
      <c r="M9" s="112">
        <v>6</v>
      </c>
      <c r="O9" s="51"/>
      <c r="P9" s="163">
        <v>5</v>
      </c>
      <c r="Q9" s="164">
        <f>L10</f>
        <v>0.10379693094256119</v>
      </c>
      <c r="R9" s="165" t="str">
        <f>A10</f>
        <v>Mato Dentro</v>
      </c>
    </row>
    <row r="10" spans="1:18" x14ac:dyDescent="0.25">
      <c r="A10" s="19" t="s">
        <v>177</v>
      </c>
      <c r="B10" s="123">
        <f>C23</f>
        <v>0.125</v>
      </c>
      <c r="C10" s="129">
        <f t="shared" si="0"/>
        <v>5.8823529411764705E-2</v>
      </c>
      <c r="D10" s="130">
        <f t="shared" si="1"/>
        <v>5.2631578947368418E-2</v>
      </c>
      <c r="E10" s="130">
        <f t="shared" si="2"/>
        <v>6.6666666666666666E-2</v>
      </c>
      <c r="F10" s="130">
        <f t="shared" si="3"/>
        <v>0.15384615384615385</v>
      </c>
      <c r="G10" s="130">
        <f t="shared" si="4"/>
        <v>7.1428571428571425E-2</v>
      </c>
      <c r="H10" s="130">
        <f t="shared" si="5"/>
        <v>0.10526315789473684</v>
      </c>
      <c r="I10" s="129">
        <f t="shared" si="6"/>
        <v>0.11538461538461539</v>
      </c>
      <c r="J10" s="131">
        <f t="shared" si="7"/>
        <v>0.10526315789473684</v>
      </c>
      <c r="K10" s="131">
        <f t="shared" si="8"/>
        <v>0.24564078698281364</v>
      </c>
      <c r="L10" s="166">
        <f>SUMPRODUCT(B10:K10,B4:K4)</f>
        <v>0.10379693094256119</v>
      </c>
      <c r="M10" s="112">
        <v>5</v>
      </c>
      <c r="O10" s="51"/>
      <c r="P10" s="163">
        <v>6</v>
      </c>
      <c r="Q10" s="164">
        <f>L9</f>
        <v>0.10089808425342017</v>
      </c>
      <c r="R10" s="165" t="str">
        <f>A9</f>
        <v>Ipaussurama TR 1</v>
      </c>
    </row>
    <row r="11" spans="1:18" x14ac:dyDescent="0.25">
      <c r="A11" s="26" t="s">
        <v>178</v>
      </c>
      <c r="B11" s="123">
        <f t="shared" si="9"/>
        <v>0.05</v>
      </c>
      <c r="C11" s="129">
        <f>D38</f>
        <v>0.11764705882352941</v>
      </c>
      <c r="D11" s="130">
        <f t="shared" si="1"/>
        <v>0.10526315789473684</v>
      </c>
      <c r="E11" s="130">
        <f t="shared" si="2"/>
        <v>6.6666666666666666E-2</v>
      </c>
      <c r="F11" s="130">
        <f t="shared" si="3"/>
        <v>5.128205128205128E-2</v>
      </c>
      <c r="G11" s="130">
        <f>H24</f>
        <v>0.10714285714285714</v>
      </c>
      <c r="H11" s="130">
        <f>I38</f>
        <v>0.10526315789473684</v>
      </c>
      <c r="I11" s="129">
        <f t="shared" si="6"/>
        <v>0.11538461538461539</v>
      </c>
      <c r="J11" s="131">
        <f t="shared" si="7"/>
        <v>0.10526315789473684</v>
      </c>
      <c r="K11" s="131">
        <f t="shared" si="8"/>
        <v>2.7133842508835129E-2</v>
      </c>
      <c r="L11" s="166">
        <f>SUMPRODUCT(B11:K11,B4:K4)</f>
        <v>9.6426718046555934E-2</v>
      </c>
      <c r="M11" s="112">
        <v>8</v>
      </c>
      <c r="O11" s="51"/>
      <c r="P11" s="163">
        <v>7</v>
      </c>
      <c r="Q11" s="164">
        <f>L8</f>
        <v>9.9009543995888433E-2</v>
      </c>
      <c r="R11" s="165" t="str">
        <f>A8</f>
        <v>Galeria</v>
      </c>
    </row>
    <row r="12" spans="1:18" x14ac:dyDescent="0.25">
      <c r="A12" s="19" t="s">
        <v>179</v>
      </c>
      <c r="B12" s="123">
        <f t="shared" si="9"/>
        <v>0.125</v>
      </c>
      <c r="C12" s="129">
        <f t="shared" si="0"/>
        <v>5.8823529411764705E-2</v>
      </c>
      <c r="D12" s="130">
        <f t="shared" si="1"/>
        <v>0.15789473684210525</v>
      </c>
      <c r="E12" s="130">
        <f t="shared" si="2"/>
        <v>0.13333333333333333</v>
      </c>
      <c r="F12" s="130">
        <f>D81</f>
        <v>0.15384615384615385</v>
      </c>
      <c r="G12" s="130">
        <f t="shared" si="4"/>
        <v>0.10714285714285714</v>
      </c>
      <c r="H12" s="130">
        <f t="shared" si="5"/>
        <v>0.10526315789473684</v>
      </c>
      <c r="I12" s="129">
        <f>H53</f>
        <v>0.11538461538461539</v>
      </c>
      <c r="J12" s="131">
        <f>I67</f>
        <v>5.2631578947368418E-2</v>
      </c>
      <c r="K12" s="131">
        <f t="shared" si="8"/>
        <v>6.37316167435137E-2</v>
      </c>
      <c r="L12" s="166">
        <f>SUMPRODUCT(B12:K12,B4:K4)</f>
        <v>0.10559980778119693</v>
      </c>
      <c r="M12" s="112">
        <v>3</v>
      </c>
      <c r="O12" s="51"/>
      <c r="P12" s="163">
        <v>8</v>
      </c>
      <c r="Q12" s="164">
        <f>L11</f>
        <v>9.6426718046555934E-2</v>
      </c>
      <c r="R12" s="165" t="str">
        <f>A11</f>
        <v>Oriente</v>
      </c>
    </row>
    <row r="13" spans="1:18" x14ac:dyDescent="0.25">
      <c r="A13" s="19" t="s">
        <v>180</v>
      </c>
      <c r="B13" s="123">
        <f t="shared" si="9"/>
        <v>7.4999999999999997E-2</v>
      </c>
      <c r="C13" s="129">
        <f t="shared" si="0"/>
        <v>0.11764705882352941</v>
      </c>
      <c r="D13" s="130">
        <f t="shared" si="1"/>
        <v>0.10526315789473684</v>
      </c>
      <c r="E13" s="130">
        <f t="shared" si="2"/>
        <v>0.13333333333333333</v>
      </c>
      <c r="F13" s="130">
        <f t="shared" si="3"/>
        <v>0.15384615384615385</v>
      </c>
      <c r="G13" s="130">
        <f t="shared" si="4"/>
        <v>0.10714285714285714</v>
      </c>
      <c r="H13" s="130">
        <f t="shared" si="5"/>
        <v>0.10526315789473684</v>
      </c>
      <c r="I13" s="129">
        <f t="shared" si="6"/>
        <v>3.8461538461538464E-2</v>
      </c>
      <c r="J13" s="131">
        <f>I68</f>
        <v>0.10526315789473684</v>
      </c>
      <c r="K13" s="131">
        <f t="shared" si="8"/>
        <v>0.13588439841454664</v>
      </c>
      <c r="L13" s="166">
        <f>SUMPRODUCT(B13:K13,B4:K4)</f>
        <v>0.10591587834861445</v>
      </c>
      <c r="M13" s="112">
        <v>2</v>
      </c>
      <c r="O13" s="51"/>
      <c r="P13" s="163">
        <v>9</v>
      </c>
      <c r="Q13" s="164">
        <f>L15</f>
        <v>9.450495542929975E-2</v>
      </c>
      <c r="R13" s="165" t="str">
        <f>A15</f>
        <v>Terra Preta</v>
      </c>
    </row>
    <row r="14" spans="1:18" x14ac:dyDescent="0.25">
      <c r="A14" s="19" t="s">
        <v>181</v>
      </c>
      <c r="B14" s="123">
        <f t="shared" si="9"/>
        <v>0.125</v>
      </c>
      <c r="C14" s="129">
        <f t="shared" si="0"/>
        <v>0.11764705882352941</v>
      </c>
      <c r="D14" s="130">
        <f t="shared" si="1"/>
        <v>0.10526315789473684</v>
      </c>
      <c r="E14" s="130">
        <f t="shared" si="2"/>
        <v>0.13333333333333333</v>
      </c>
      <c r="F14" s="130">
        <f t="shared" si="3"/>
        <v>0.15384615384615385</v>
      </c>
      <c r="G14" s="130">
        <f t="shared" si="4"/>
        <v>0.10714285714285714</v>
      </c>
      <c r="H14" s="130">
        <f t="shared" si="5"/>
        <v>0.10526315789473684</v>
      </c>
      <c r="I14" s="129">
        <f t="shared" si="6"/>
        <v>0.11538461538461539</v>
      </c>
      <c r="J14" s="131">
        <f>I69</f>
        <v>0.10526315789473684</v>
      </c>
      <c r="K14" s="131">
        <f t="shared" si="8"/>
        <v>0.12457030879204568</v>
      </c>
      <c r="L14" s="166">
        <f>SUMPRODUCT(B14:K14,B4:K4)</f>
        <v>0.1136550070928115</v>
      </c>
      <c r="M14" s="112">
        <v>1</v>
      </c>
      <c r="O14" s="51"/>
      <c r="P14" s="163">
        <v>10</v>
      </c>
      <c r="Q14" s="164">
        <f>L7</f>
        <v>7.5972983347892542E-2</v>
      </c>
      <c r="R14" s="165" t="str">
        <f>A7</f>
        <v>Friburgo</v>
      </c>
    </row>
    <row r="15" spans="1:18" x14ac:dyDescent="0.25">
      <c r="A15" s="19" t="s">
        <v>182</v>
      </c>
      <c r="B15" s="123">
        <f t="shared" si="9"/>
        <v>2.5000000000000001E-2</v>
      </c>
      <c r="C15" s="129">
        <f t="shared" si="0"/>
        <v>0.11764705882352941</v>
      </c>
      <c r="D15" s="130">
        <f>C56</f>
        <v>0.10526315789473684</v>
      </c>
      <c r="E15" s="130">
        <f t="shared" si="2"/>
        <v>6.6666666666666666E-2</v>
      </c>
      <c r="F15" s="130">
        <f t="shared" si="3"/>
        <v>7.6923076923076927E-2</v>
      </c>
      <c r="G15" s="130">
        <f t="shared" si="4"/>
        <v>0.10714285714285714</v>
      </c>
      <c r="H15" s="130">
        <f t="shared" si="5"/>
        <v>0.10526315789473684</v>
      </c>
      <c r="I15" s="129">
        <f t="shared" si="6"/>
        <v>7.6923076923076927E-2</v>
      </c>
      <c r="J15" s="131">
        <f>I70</f>
        <v>0.10526315789473684</v>
      </c>
      <c r="K15" s="131">
        <f t="shared" si="8"/>
        <v>1.7000901394409181E-2</v>
      </c>
      <c r="L15" s="166">
        <f>SUMPRODUCT(B15:K15,B4:K4)</f>
        <v>9.450495542929975E-2</v>
      </c>
      <c r="M15" s="112">
        <v>9</v>
      </c>
      <c r="O15" s="51"/>
      <c r="P15" s="168"/>
      <c r="Q15" s="169"/>
      <c r="R15" s="170"/>
    </row>
    <row r="16" spans="1:18" x14ac:dyDescent="0.25">
      <c r="B16" s="57"/>
      <c r="C16" s="57"/>
      <c r="D16" s="57"/>
      <c r="E16" s="57"/>
      <c r="F16" s="57"/>
      <c r="G16" s="57"/>
      <c r="H16" s="57"/>
      <c r="I16" s="57"/>
      <c r="O16" s="51"/>
      <c r="P16" s="51"/>
      <c r="Q16" s="51"/>
      <c r="R16" s="51"/>
    </row>
    <row r="17" spans="1:18" ht="22.5" customHeight="1" x14ac:dyDescent="0.25">
      <c r="A17" s="12" t="s">
        <v>139</v>
      </c>
      <c r="B17" s="139" t="s">
        <v>140</v>
      </c>
      <c r="C17" s="139"/>
      <c r="F17" s="12" t="s">
        <v>141</v>
      </c>
      <c r="G17" s="148" t="s">
        <v>8</v>
      </c>
      <c r="H17" s="148"/>
      <c r="L17" s="110"/>
      <c r="M17" s="110"/>
      <c r="N17" s="110"/>
      <c r="O17" s="110"/>
      <c r="P17" s="110"/>
      <c r="R17" s="58" t="s">
        <v>2</v>
      </c>
    </row>
    <row r="18" spans="1:18" ht="14.25" customHeight="1" x14ac:dyDescent="0.25">
      <c r="A18" s="19" t="s">
        <v>58</v>
      </c>
      <c r="B18" s="19" t="s">
        <v>64</v>
      </c>
      <c r="C18" s="19" t="s">
        <v>65</v>
      </c>
      <c r="D18" s="29"/>
      <c r="E18" s="29"/>
      <c r="F18" s="19" t="s">
        <v>58</v>
      </c>
      <c r="G18" s="19" t="s">
        <v>64</v>
      </c>
      <c r="H18" s="20" t="s">
        <v>65</v>
      </c>
      <c r="I18" s="29"/>
      <c r="J18" s="29"/>
      <c r="K18" s="59"/>
      <c r="L18" s="29"/>
      <c r="M18" s="29"/>
      <c r="N18" s="29"/>
      <c r="O18" s="29"/>
      <c r="Q18" s="42"/>
      <c r="R18" s="60" t="s">
        <v>25</v>
      </c>
    </row>
    <row r="19" spans="1:18" x14ac:dyDescent="0.25">
      <c r="A19" s="19" t="s">
        <v>173</v>
      </c>
      <c r="B19" s="114">
        <f>'Memória de Cálculo'!H4</f>
        <v>4</v>
      </c>
      <c r="C19" s="115">
        <f>B19/B29</f>
        <v>0.1</v>
      </c>
      <c r="D19" s="29"/>
      <c r="E19" s="29"/>
      <c r="F19" s="19" t="s">
        <v>173</v>
      </c>
      <c r="G19" s="121">
        <f>'Memória de Cálculo'!P19</f>
        <v>3</v>
      </c>
      <c r="H19" s="123">
        <f>G19/G29</f>
        <v>0.10714285714285714</v>
      </c>
      <c r="J19" s="29"/>
      <c r="K19" s="59"/>
      <c r="L19" s="29"/>
      <c r="M19" s="29"/>
      <c r="N19" s="29"/>
      <c r="O19" s="29"/>
      <c r="Q19" s="42"/>
      <c r="R19" s="60" t="s">
        <v>30</v>
      </c>
    </row>
    <row r="20" spans="1:18" x14ac:dyDescent="0.25">
      <c r="A20" s="19" t="s">
        <v>174</v>
      </c>
      <c r="B20" s="114">
        <f>'Memória de Cálculo'!H5</f>
        <v>5</v>
      </c>
      <c r="C20" s="115">
        <f>B20/B29</f>
        <v>0.125</v>
      </c>
      <c r="D20" s="75"/>
      <c r="E20" s="29"/>
      <c r="F20" s="19" t="s">
        <v>174</v>
      </c>
      <c r="G20" s="121">
        <f>'Memória de Cálculo'!P20</f>
        <v>3</v>
      </c>
      <c r="H20" s="123">
        <f>G20/G29</f>
        <v>0.10714285714285714</v>
      </c>
      <c r="Q20" s="51"/>
      <c r="R20" s="60" t="s">
        <v>33</v>
      </c>
    </row>
    <row r="21" spans="1:18" x14ac:dyDescent="0.25">
      <c r="A21" s="19" t="s">
        <v>175</v>
      </c>
      <c r="B21" s="114">
        <f>'Memória de Cálculo'!H6</f>
        <v>5</v>
      </c>
      <c r="C21" s="115">
        <f>B21/B29</f>
        <v>0.125</v>
      </c>
      <c r="E21" s="29"/>
      <c r="F21" s="19" t="s">
        <v>175</v>
      </c>
      <c r="G21" s="121">
        <f>'Memória de Cálculo'!P21</f>
        <v>2</v>
      </c>
      <c r="H21" s="123">
        <f>G21/G29</f>
        <v>7.1428571428571425E-2</v>
      </c>
      <c r="Q21" s="61"/>
      <c r="R21" s="60" t="s">
        <v>37</v>
      </c>
    </row>
    <row r="22" spans="1:18" x14ac:dyDescent="0.25">
      <c r="A22" s="19" t="s">
        <v>176</v>
      </c>
      <c r="B22" s="114">
        <f>'Memória de Cálculo'!H7</f>
        <v>5</v>
      </c>
      <c r="C22" s="115">
        <f>B22/B29</f>
        <v>0.125</v>
      </c>
      <c r="E22" s="62"/>
      <c r="F22" s="19" t="s">
        <v>176</v>
      </c>
      <c r="G22" s="121">
        <f>'Memória de Cálculo'!P22</f>
        <v>3</v>
      </c>
      <c r="H22" s="123">
        <f>G22/G29</f>
        <v>0.10714285714285714</v>
      </c>
      <c r="Q22" s="61"/>
      <c r="R22" s="60" t="s">
        <v>41</v>
      </c>
    </row>
    <row r="23" spans="1:18" x14ac:dyDescent="0.25">
      <c r="A23" s="19" t="s">
        <v>177</v>
      </c>
      <c r="B23" s="114">
        <f>'Memória de Cálculo'!H8</f>
        <v>5</v>
      </c>
      <c r="C23" s="115">
        <f>B23/B29</f>
        <v>0.125</v>
      </c>
      <c r="E23" s="29"/>
      <c r="F23" s="19" t="s">
        <v>177</v>
      </c>
      <c r="G23" s="121">
        <f>'Memória de Cálculo'!P23</f>
        <v>2</v>
      </c>
      <c r="H23" s="123">
        <f>G23/G29</f>
        <v>7.1428571428571425E-2</v>
      </c>
      <c r="Q23" s="61"/>
      <c r="R23" s="60" t="s">
        <v>46</v>
      </c>
    </row>
    <row r="24" spans="1:18" x14ac:dyDescent="0.25">
      <c r="A24" s="26" t="s">
        <v>178</v>
      </c>
      <c r="B24" s="114">
        <f>'Memória de Cálculo'!H9</f>
        <v>2</v>
      </c>
      <c r="C24" s="115">
        <f>B24/B29</f>
        <v>0.05</v>
      </c>
      <c r="E24" s="29"/>
      <c r="F24" s="26" t="s">
        <v>178</v>
      </c>
      <c r="G24" s="121">
        <f>'Memória de Cálculo'!P24</f>
        <v>3</v>
      </c>
      <c r="H24" s="123">
        <f>G24/G29</f>
        <v>0.10714285714285714</v>
      </c>
      <c r="Q24" s="61"/>
      <c r="R24" s="60" t="s">
        <v>48</v>
      </c>
    </row>
    <row r="25" spans="1:18" x14ac:dyDescent="0.25">
      <c r="A25" s="19" t="s">
        <v>179</v>
      </c>
      <c r="B25" s="114">
        <f>'Memória de Cálculo'!H10</f>
        <v>5</v>
      </c>
      <c r="C25" s="115">
        <f>B25/B29</f>
        <v>0.125</v>
      </c>
      <c r="E25" s="29"/>
      <c r="F25" s="19" t="s">
        <v>179</v>
      </c>
      <c r="G25" s="121">
        <f>'Memória de Cálculo'!P25</f>
        <v>3</v>
      </c>
      <c r="H25" s="123">
        <f>G25/G29</f>
        <v>0.10714285714285714</v>
      </c>
      <c r="Q25" s="61"/>
      <c r="R25" s="60" t="s">
        <v>49</v>
      </c>
    </row>
    <row r="26" spans="1:18" x14ac:dyDescent="0.25">
      <c r="A26" s="19" t="s">
        <v>180</v>
      </c>
      <c r="B26" s="114">
        <f>'Memória de Cálculo'!H11</f>
        <v>3</v>
      </c>
      <c r="C26" s="115">
        <f>B26/B29</f>
        <v>7.4999999999999997E-2</v>
      </c>
      <c r="E26" s="29"/>
      <c r="F26" s="19" t="s">
        <v>180</v>
      </c>
      <c r="G26" s="121">
        <f>'Memória de Cálculo'!P26</f>
        <v>3</v>
      </c>
      <c r="H26" s="123">
        <f>G26/G29</f>
        <v>0.10714285714285714</v>
      </c>
      <c r="Q26" s="61"/>
      <c r="R26" s="60" t="s">
        <v>53</v>
      </c>
    </row>
    <row r="27" spans="1:18" x14ac:dyDescent="0.25">
      <c r="A27" s="19" t="s">
        <v>181</v>
      </c>
      <c r="B27" s="114">
        <f>'Memória de Cálculo'!H12</f>
        <v>5</v>
      </c>
      <c r="C27" s="115">
        <f>B27/B29</f>
        <v>0.125</v>
      </c>
      <c r="E27" s="29"/>
      <c r="F27" s="19" t="s">
        <v>181</v>
      </c>
      <c r="G27" s="121">
        <f>'Memória de Cálculo'!P27</f>
        <v>3</v>
      </c>
      <c r="H27" s="123">
        <f>G27/G29</f>
        <v>0.10714285714285714</v>
      </c>
      <c r="Q27" s="61"/>
      <c r="R27" s="60" t="s">
        <v>54</v>
      </c>
    </row>
    <row r="28" spans="1:18" x14ac:dyDescent="0.25">
      <c r="A28" s="19" t="s">
        <v>182</v>
      </c>
      <c r="B28" s="114">
        <f>'Memória de Cálculo'!H13</f>
        <v>1</v>
      </c>
      <c r="C28" s="115">
        <f>B28/B29</f>
        <v>2.5000000000000001E-2</v>
      </c>
      <c r="E28" s="29"/>
      <c r="F28" s="19" t="s">
        <v>182</v>
      </c>
      <c r="G28" s="121">
        <f>'Memória de Cálculo'!P28</f>
        <v>3</v>
      </c>
      <c r="H28" s="123">
        <f>G28/G29</f>
        <v>0.10714285714285714</v>
      </c>
      <c r="Q28" s="61"/>
      <c r="R28" s="63"/>
    </row>
    <row r="29" spans="1:18" x14ac:dyDescent="0.25">
      <c r="A29" s="19" t="s">
        <v>78</v>
      </c>
      <c r="B29" s="21">
        <f>SUM(B19:B28)</f>
        <v>40</v>
      </c>
      <c r="C29" s="22">
        <f>SUM(C19:C28)</f>
        <v>1</v>
      </c>
      <c r="E29" s="29"/>
      <c r="F29" s="19" t="s">
        <v>78</v>
      </c>
      <c r="G29" s="20">
        <f>G19+G20+G21+G22+G23+G24+G25+G26+G27+G28</f>
        <v>28</v>
      </c>
      <c r="H29" s="25">
        <f>SUM(H19:H28)</f>
        <v>0.99999999999999978</v>
      </c>
      <c r="Q29" s="61"/>
      <c r="R29" s="63"/>
    </row>
    <row r="30" spans="1:18" x14ac:dyDescent="0.25">
      <c r="E30" s="29"/>
      <c r="Q30" s="61"/>
      <c r="R30" s="63"/>
    </row>
    <row r="31" spans="1:18" x14ac:dyDescent="0.25">
      <c r="A31" s="139" t="s">
        <v>142</v>
      </c>
      <c r="B31" s="139"/>
      <c r="C31" s="139"/>
      <c r="D31" s="12" t="s">
        <v>10</v>
      </c>
      <c r="E31" s="29"/>
      <c r="F31" s="14" t="s">
        <v>143</v>
      </c>
      <c r="G31" s="139" t="s">
        <v>10</v>
      </c>
      <c r="H31" s="139"/>
      <c r="I31" s="139"/>
      <c r="R31" s="42"/>
    </row>
    <row r="32" spans="1:18" x14ac:dyDescent="0.25">
      <c r="A32" s="19" t="s">
        <v>58</v>
      </c>
      <c r="B32" s="19" t="s">
        <v>64</v>
      </c>
      <c r="C32" s="19" t="s">
        <v>69</v>
      </c>
      <c r="D32" s="19" t="s">
        <v>65</v>
      </c>
      <c r="E32" s="29"/>
      <c r="F32" s="19" t="s">
        <v>58</v>
      </c>
      <c r="G32" s="19" t="s">
        <v>64</v>
      </c>
      <c r="H32" s="19" t="s">
        <v>69</v>
      </c>
      <c r="I32" s="19" t="s">
        <v>65</v>
      </c>
      <c r="R32" s="42"/>
    </row>
    <row r="33" spans="1:18" x14ac:dyDescent="0.25">
      <c r="A33" s="19" t="s">
        <v>173</v>
      </c>
      <c r="B33" s="112">
        <f>'Memória de Cálculo'!H19</f>
        <v>1</v>
      </c>
      <c r="C33" s="124">
        <f>B43/B33</f>
        <v>13</v>
      </c>
      <c r="D33" s="115">
        <f>C33/C43</f>
        <v>0.11764705882352941</v>
      </c>
      <c r="E33" s="29"/>
      <c r="F33" s="19" t="s">
        <v>173</v>
      </c>
      <c r="G33" s="114">
        <f>'Memória de Cálculo'!Q34</f>
        <v>1</v>
      </c>
      <c r="H33" s="114">
        <f>G43/G33</f>
        <v>11</v>
      </c>
      <c r="I33" s="115">
        <f>H33/H43</f>
        <v>0.10526315789473684</v>
      </c>
      <c r="J33" s="29"/>
      <c r="K33" s="59"/>
      <c r="L33" s="29"/>
      <c r="M33" s="29"/>
      <c r="N33" s="29"/>
      <c r="O33" s="29"/>
      <c r="P33" s="42"/>
      <c r="Q33" s="42"/>
      <c r="R33" s="42"/>
    </row>
    <row r="34" spans="1:18" x14ac:dyDescent="0.25">
      <c r="A34" s="19" t="s">
        <v>174</v>
      </c>
      <c r="B34" s="112">
        <f>'Memória de Cálculo'!H20</f>
        <v>1</v>
      </c>
      <c r="C34" s="124">
        <f>B43/B34</f>
        <v>13</v>
      </c>
      <c r="D34" s="115">
        <f>C34/C43</f>
        <v>0.11764705882352941</v>
      </c>
      <c r="E34" s="29"/>
      <c r="F34" s="19" t="s">
        <v>174</v>
      </c>
      <c r="G34" s="114">
        <f>'Memória de Cálculo'!Q35</f>
        <v>2</v>
      </c>
      <c r="H34" s="114">
        <f>G43/G34</f>
        <v>5.5</v>
      </c>
      <c r="I34" s="115">
        <f>H34/H43</f>
        <v>5.2631578947368418E-2</v>
      </c>
      <c r="J34" s="75"/>
      <c r="K34" s="64"/>
      <c r="L34" s="64"/>
      <c r="M34" s="75"/>
      <c r="N34" s="29"/>
      <c r="O34" s="29"/>
      <c r="P34" s="42"/>
      <c r="Q34" s="42"/>
      <c r="R34" s="42"/>
    </row>
    <row r="35" spans="1:18" x14ac:dyDescent="0.25">
      <c r="A35" s="19" t="s">
        <v>175</v>
      </c>
      <c r="B35" s="112">
        <f>'Memória de Cálculo'!H21</f>
        <v>1</v>
      </c>
      <c r="C35" s="124">
        <f>B43/B35</f>
        <v>13</v>
      </c>
      <c r="D35" s="115">
        <f>C35/C43</f>
        <v>0.11764705882352941</v>
      </c>
      <c r="E35" s="29"/>
      <c r="F35" s="19" t="s">
        <v>175</v>
      </c>
      <c r="G35" s="114">
        <f>'Memória de Cálculo'!Q36</f>
        <v>1</v>
      </c>
      <c r="H35" s="114">
        <f>G43/G35</f>
        <v>11</v>
      </c>
      <c r="I35" s="115">
        <f>H35/H43</f>
        <v>0.10526315789473684</v>
      </c>
      <c r="J35" s="63"/>
      <c r="K35" s="63"/>
      <c r="L35" s="63"/>
      <c r="M35" s="63"/>
      <c r="N35" s="29"/>
      <c r="O35" s="29"/>
      <c r="P35" s="42"/>
      <c r="Q35" s="42"/>
      <c r="R35" s="42"/>
    </row>
    <row r="36" spans="1:18" x14ac:dyDescent="0.25">
      <c r="A36" s="19" t="s">
        <v>176</v>
      </c>
      <c r="B36" s="112">
        <f>'Memória de Cálculo'!H22</f>
        <v>2</v>
      </c>
      <c r="C36" s="124">
        <f>B43/B36</f>
        <v>6.5</v>
      </c>
      <c r="D36" s="115">
        <f>C36/C43</f>
        <v>5.8823529411764705E-2</v>
      </c>
      <c r="E36" s="29"/>
      <c r="F36" s="19" t="s">
        <v>176</v>
      </c>
      <c r="G36" s="114">
        <f>'Memória de Cálculo'!Q37</f>
        <v>1</v>
      </c>
      <c r="H36" s="114">
        <f>G43/G36</f>
        <v>11</v>
      </c>
      <c r="I36" s="115">
        <f>H36/H43</f>
        <v>0.10526315789473684</v>
      </c>
      <c r="L36" s="63"/>
      <c r="M36" s="23"/>
      <c r="N36" s="29"/>
      <c r="O36" s="29"/>
      <c r="P36" s="42"/>
      <c r="Q36" s="42"/>
      <c r="R36" s="42"/>
    </row>
    <row r="37" spans="1:18" x14ac:dyDescent="0.25">
      <c r="A37" s="112" t="s">
        <v>177</v>
      </c>
      <c r="B37" s="112">
        <f>'Memória de Cálculo'!H23</f>
        <v>2</v>
      </c>
      <c r="C37" s="124">
        <f>B43/B37</f>
        <v>6.5</v>
      </c>
      <c r="D37" s="115">
        <f>C37/C43</f>
        <v>5.8823529411764705E-2</v>
      </c>
      <c r="E37" s="29"/>
      <c r="F37" s="19" t="s">
        <v>177</v>
      </c>
      <c r="G37" s="114">
        <f>'Memória de Cálculo'!Q38</f>
        <v>1</v>
      </c>
      <c r="H37" s="114">
        <f>G43/G37</f>
        <v>11</v>
      </c>
      <c r="I37" s="115">
        <f>H37/H43</f>
        <v>0.10526315789473684</v>
      </c>
      <c r="L37" s="63"/>
      <c r="M37" s="23"/>
      <c r="N37" s="29"/>
      <c r="O37" s="29"/>
      <c r="P37" s="42"/>
      <c r="Q37" s="42"/>
      <c r="R37" s="42"/>
    </row>
    <row r="38" spans="1:18" x14ac:dyDescent="0.25">
      <c r="A38" s="26" t="s">
        <v>178</v>
      </c>
      <c r="B38" s="112">
        <f>'Memória de Cálculo'!H24</f>
        <v>1</v>
      </c>
      <c r="C38" s="124">
        <f>B43/B38</f>
        <v>13</v>
      </c>
      <c r="D38" s="115">
        <f>C38/C43</f>
        <v>0.11764705882352941</v>
      </c>
      <c r="E38" s="29"/>
      <c r="F38" s="26" t="s">
        <v>178</v>
      </c>
      <c r="G38" s="114">
        <f>'Memória de Cálculo'!Q39</f>
        <v>1</v>
      </c>
      <c r="H38" s="114">
        <f>G43/G38</f>
        <v>11</v>
      </c>
      <c r="I38" s="115">
        <f>H38/H43</f>
        <v>0.10526315789473684</v>
      </c>
      <c r="L38" s="63"/>
      <c r="M38" s="23"/>
      <c r="N38" s="29"/>
      <c r="O38" s="29"/>
      <c r="P38" s="42"/>
      <c r="Q38" s="42"/>
      <c r="R38" s="42"/>
    </row>
    <row r="39" spans="1:18" x14ac:dyDescent="0.25">
      <c r="A39" s="19" t="s">
        <v>179</v>
      </c>
      <c r="B39" s="112">
        <f>'Memória de Cálculo'!H25</f>
        <v>2</v>
      </c>
      <c r="C39" s="124">
        <f>B43/B39</f>
        <v>6.5</v>
      </c>
      <c r="D39" s="115">
        <f>C39/C43</f>
        <v>5.8823529411764705E-2</v>
      </c>
      <c r="E39" s="29"/>
      <c r="F39" s="19" t="s">
        <v>179</v>
      </c>
      <c r="G39" s="114">
        <f>'Memória de Cálculo'!Q40</f>
        <v>1</v>
      </c>
      <c r="H39" s="114">
        <f>G43/G39</f>
        <v>11</v>
      </c>
      <c r="I39" s="115">
        <f>H39/H43</f>
        <v>0.10526315789473684</v>
      </c>
      <c r="L39" s="63"/>
      <c r="M39" s="23"/>
      <c r="N39" s="29"/>
      <c r="O39" s="29"/>
      <c r="P39" s="42"/>
      <c r="Q39" s="42"/>
      <c r="R39" s="42"/>
    </row>
    <row r="40" spans="1:18" x14ac:dyDescent="0.25">
      <c r="A40" s="19" t="s">
        <v>180</v>
      </c>
      <c r="B40" s="112">
        <f>'Memória de Cálculo'!H26</f>
        <v>1</v>
      </c>
      <c r="C40" s="124">
        <f>B43/B40</f>
        <v>13</v>
      </c>
      <c r="D40" s="115">
        <f>C40/C43</f>
        <v>0.11764705882352941</v>
      </c>
      <c r="E40" s="29"/>
      <c r="F40" s="19" t="s">
        <v>180</v>
      </c>
      <c r="G40" s="114">
        <f>'Memória de Cálculo'!Q41</f>
        <v>1</v>
      </c>
      <c r="H40" s="114">
        <f>G43/G40</f>
        <v>11</v>
      </c>
      <c r="I40" s="115">
        <f>H40/H43</f>
        <v>0.10526315789473684</v>
      </c>
      <c r="L40" s="63"/>
      <c r="M40" s="23"/>
      <c r="N40" s="29"/>
      <c r="O40" s="29"/>
      <c r="P40" s="42"/>
      <c r="Q40" s="42"/>
      <c r="R40" s="42"/>
    </row>
    <row r="41" spans="1:18" ht="18.75" customHeight="1" x14ac:dyDescent="0.25">
      <c r="A41" s="19" t="s">
        <v>181</v>
      </c>
      <c r="B41" s="112">
        <f>'Memória de Cálculo'!H27</f>
        <v>1</v>
      </c>
      <c r="C41" s="124">
        <f>B43/B41</f>
        <v>13</v>
      </c>
      <c r="D41" s="115">
        <f>C41/C43</f>
        <v>0.11764705882352941</v>
      </c>
      <c r="E41" s="29"/>
      <c r="F41" s="19" t="s">
        <v>181</v>
      </c>
      <c r="G41" s="114">
        <f>'Memória de Cálculo'!Q42</f>
        <v>1</v>
      </c>
      <c r="H41" s="114">
        <f>G43/G41</f>
        <v>11</v>
      </c>
      <c r="I41" s="115">
        <f>H41/H43</f>
        <v>0.10526315789473684</v>
      </c>
      <c r="L41" s="63"/>
      <c r="M41" s="23"/>
      <c r="N41" s="29"/>
      <c r="O41" s="29"/>
      <c r="P41" s="42"/>
      <c r="Q41" s="42"/>
      <c r="R41" s="42"/>
    </row>
    <row r="42" spans="1:18" x14ac:dyDescent="0.25">
      <c r="A42" s="19" t="s">
        <v>182</v>
      </c>
      <c r="B42" s="112">
        <f>'Memória de Cálculo'!H28</f>
        <v>1</v>
      </c>
      <c r="C42" s="124">
        <f>B43/B42</f>
        <v>13</v>
      </c>
      <c r="D42" s="115">
        <f>C42/C43</f>
        <v>0.11764705882352941</v>
      </c>
      <c r="E42" s="29"/>
      <c r="F42" s="19" t="s">
        <v>182</v>
      </c>
      <c r="G42" s="114">
        <f>'Memória de Cálculo'!Q43</f>
        <v>1</v>
      </c>
      <c r="H42" s="114">
        <f>G43/G42</f>
        <v>11</v>
      </c>
      <c r="I42" s="115">
        <f>H42/H43</f>
        <v>0.10526315789473684</v>
      </c>
      <c r="L42" s="63"/>
      <c r="M42" s="23"/>
      <c r="N42" s="29"/>
      <c r="O42" s="29"/>
      <c r="P42" s="42"/>
      <c r="Q42" s="42"/>
      <c r="R42" s="42"/>
    </row>
    <row r="43" spans="1:18" x14ac:dyDescent="0.25">
      <c r="A43" s="19" t="s">
        <v>78</v>
      </c>
      <c r="B43" s="112">
        <f>SUM(B33:B42)</f>
        <v>13</v>
      </c>
      <c r="C43" s="124">
        <f>C33+C34+C35+C36+C37+C38+C39+C40+C41+C42</f>
        <v>110.5</v>
      </c>
      <c r="D43" s="115">
        <f>SUM(D33:D42)</f>
        <v>1</v>
      </c>
      <c r="E43" s="29"/>
      <c r="F43" s="20" t="s">
        <v>78</v>
      </c>
      <c r="G43" s="114">
        <f>G33+G34+G35+G36+G37+G38+G39+G40+G41+G42</f>
        <v>11</v>
      </c>
      <c r="H43" s="114">
        <f>H33+H34+H35+H36+H37+H38+H39+H40+H41+H42</f>
        <v>104.5</v>
      </c>
      <c r="I43" s="115">
        <f>SUM(I33:I42)</f>
        <v>1</v>
      </c>
      <c r="L43" s="63"/>
      <c r="M43" s="23"/>
      <c r="N43" s="29"/>
      <c r="O43" s="29"/>
      <c r="P43" s="42"/>
      <c r="Q43" s="42"/>
      <c r="R43" s="42"/>
    </row>
    <row r="44" spans="1:18" x14ac:dyDescent="0.25">
      <c r="E44" s="29"/>
      <c r="I44" s="29"/>
      <c r="L44" s="63"/>
      <c r="M44" s="23"/>
      <c r="N44" s="29"/>
      <c r="O44" s="29"/>
      <c r="P44" s="42"/>
      <c r="Q44" s="42"/>
      <c r="R44" s="42"/>
    </row>
    <row r="45" spans="1:18" x14ac:dyDescent="0.25">
      <c r="A45" s="12" t="s">
        <v>144</v>
      </c>
      <c r="B45" s="139" t="s">
        <v>8</v>
      </c>
      <c r="C45" s="139"/>
      <c r="E45" s="29"/>
      <c r="F45" s="14" t="s">
        <v>145</v>
      </c>
      <c r="G45" s="139" t="s">
        <v>8</v>
      </c>
      <c r="H45" s="139"/>
      <c r="I45" s="29"/>
      <c r="L45" s="63"/>
      <c r="M45" s="23"/>
      <c r="N45" s="29"/>
      <c r="O45" s="29"/>
      <c r="P45" s="42"/>
      <c r="Q45" s="42"/>
      <c r="R45" s="42"/>
    </row>
    <row r="46" spans="1:18" x14ac:dyDescent="0.25">
      <c r="A46" s="19" t="s">
        <v>58</v>
      </c>
      <c r="B46" s="19" t="s">
        <v>64</v>
      </c>
      <c r="C46" s="19" t="s">
        <v>65</v>
      </c>
      <c r="E46" s="29"/>
      <c r="F46" s="19" t="s">
        <v>58</v>
      </c>
      <c r="G46" s="19" t="s">
        <v>64</v>
      </c>
      <c r="H46" s="19" t="s">
        <v>65</v>
      </c>
      <c r="I46" s="29"/>
      <c r="L46" s="63"/>
      <c r="M46" s="65"/>
      <c r="N46" s="29"/>
      <c r="O46" s="29"/>
      <c r="P46" s="42"/>
      <c r="Q46" s="42"/>
      <c r="R46" s="42"/>
    </row>
    <row r="47" spans="1:18" x14ac:dyDescent="0.25">
      <c r="A47" s="19" t="s">
        <v>173</v>
      </c>
      <c r="B47" s="112">
        <f>'Memória de Cálculo'!F34</f>
        <v>2</v>
      </c>
      <c r="C47" s="115">
        <f>B47/B57</f>
        <v>0.10526315789473684</v>
      </c>
      <c r="D47" s="29"/>
      <c r="E47" s="29"/>
      <c r="F47" s="19" t="s">
        <v>173</v>
      </c>
      <c r="G47" s="112">
        <f>'Memória de Cálculo'!O49</f>
        <v>3</v>
      </c>
      <c r="H47" s="115">
        <f>G47/G57</f>
        <v>0.11538461538461539</v>
      </c>
      <c r="I47" s="29"/>
      <c r="L47" s="75"/>
      <c r="M47" s="75"/>
      <c r="N47" s="75"/>
      <c r="O47" s="75"/>
      <c r="P47" s="66"/>
      <c r="Q47" s="66"/>
      <c r="R47" s="42"/>
    </row>
    <row r="48" spans="1:18" x14ac:dyDescent="0.25">
      <c r="A48" s="19" t="s">
        <v>174</v>
      </c>
      <c r="B48" s="112">
        <f>'Memória de Cálculo'!F35</f>
        <v>2</v>
      </c>
      <c r="C48" s="115">
        <f>B48/B57</f>
        <v>0.10526315789473684</v>
      </c>
      <c r="D48" s="75"/>
      <c r="E48" s="29"/>
      <c r="F48" s="19" t="s">
        <v>174</v>
      </c>
      <c r="G48" s="112">
        <f>'Memória de Cálculo'!O50</f>
        <v>2</v>
      </c>
      <c r="H48" s="115">
        <f>G48/G57</f>
        <v>7.6923076923076927E-2</v>
      </c>
      <c r="I48" s="29"/>
      <c r="M48" s="75"/>
      <c r="N48" s="75"/>
      <c r="O48" s="75"/>
      <c r="P48" s="66"/>
      <c r="Q48" s="66"/>
      <c r="R48" s="42"/>
    </row>
    <row r="49" spans="1:18" x14ac:dyDescent="0.25">
      <c r="A49" s="19" t="s">
        <v>175</v>
      </c>
      <c r="B49" s="112">
        <f>'Memória de Cálculo'!F36</f>
        <v>1</v>
      </c>
      <c r="C49" s="115">
        <f>B49/B57</f>
        <v>5.2631578947368418E-2</v>
      </c>
      <c r="D49" s="75"/>
      <c r="E49" s="75"/>
      <c r="F49" s="19" t="s">
        <v>175</v>
      </c>
      <c r="G49" s="112">
        <f>'Memória de Cálculo'!O51</f>
        <v>3</v>
      </c>
      <c r="H49" s="115">
        <f>G49/G57</f>
        <v>0.11538461538461539</v>
      </c>
      <c r="I49" s="75"/>
      <c r="M49" s="29"/>
      <c r="N49" s="75"/>
      <c r="O49" s="75"/>
      <c r="P49" s="66"/>
      <c r="Q49" s="66"/>
      <c r="R49" s="42"/>
    </row>
    <row r="50" spans="1:18" x14ac:dyDescent="0.25">
      <c r="A50" s="19" t="s">
        <v>176</v>
      </c>
      <c r="B50" s="112">
        <f>'Memória de Cálculo'!F37</f>
        <v>2</v>
      </c>
      <c r="C50" s="115">
        <f>B50/B57</f>
        <v>0.10526315789473684</v>
      </c>
      <c r="D50" s="75"/>
      <c r="E50" s="75"/>
      <c r="F50" s="19" t="s">
        <v>176</v>
      </c>
      <c r="G50" s="112">
        <f>'Memória de Cálculo'!O52</f>
        <v>3</v>
      </c>
      <c r="H50" s="115">
        <f>G50/G57</f>
        <v>0.11538461538461539</v>
      </c>
      <c r="I50" s="75"/>
      <c r="M50" s="29"/>
      <c r="N50" s="75"/>
      <c r="O50" s="75"/>
      <c r="P50" s="66"/>
      <c r="Q50" s="66"/>
      <c r="R50" s="42"/>
    </row>
    <row r="51" spans="1:18" x14ac:dyDescent="0.25">
      <c r="A51" s="19" t="s">
        <v>177</v>
      </c>
      <c r="B51" s="112">
        <f>'Memória de Cálculo'!F38</f>
        <v>1</v>
      </c>
      <c r="C51" s="115">
        <f>B51/B57</f>
        <v>5.2631578947368418E-2</v>
      </c>
      <c r="D51" s="75"/>
      <c r="E51" s="75"/>
      <c r="F51" s="19" t="s">
        <v>177</v>
      </c>
      <c r="G51" s="112">
        <f>'Memória de Cálculo'!O53</f>
        <v>3</v>
      </c>
      <c r="H51" s="115">
        <f>G51/G57</f>
        <v>0.11538461538461539</v>
      </c>
      <c r="I51" s="75"/>
      <c r="M51" s="29"/>
      <c r="N51" s="75"/>
      <c r="O51" s="75"/>
      <c r="P51" s="66"/>
      <c r="Q51" s="66"/>
      <c r="R51" s="42"/>
    </row>
    <row r="52" spans="1:18" x14ac:dyDescent="0.25">
      <c r="A52" s="26" t="s">
        <v>178</v>
      </c>
      <c r="B52" s="112">
        <f>'Memória de Cálculo'!F39</f>
        <v>2</v>
      </c>
      <c r="C52" s="115">
        <f>B52/B57</f>
        <v>0.10526315789473684</v>
      </c>
      <c r="D52" s="75"/>
      <c r="E52" s="75"/>
      <c r="F52" s="26" t="s">
        <v>178</v>
      </c>
      <c r="G52" s="112">
        <f>'Memória de Cálculo'!O54</f>
        <v>3</v>
      </c>
      <c r="H52" s="115">
        <f>G52/G57</f>
        <v>0.11538461538461539</v>
      </c>
      <c r="I52" s="75"/>
      <c r="M52" s="29"/>
      <c r="N52" s="75"/>
      <c r="O52" s="75"/>
      <c r="P52" s="66"/>
      <c r="Q52" s="66"/>
      <c r="R52" s="42"/>
    </row>
    <row r="53" spans="1:18" x14ac:dyDescent="0.25">
      <c r="A53" s="19" t="s">
        <v>179</v>
      </c>
      <c r="B53" s="112">
        <f>'Memória de Cálculo'!F40</f>
        <v>3</v>
      </c>
      <c r="C53" s="115">
        <f>B53/B57</f>
        <v>0.15789473684210525</v>
      </c>
      <c r="D53" s="75"/>
      <c r="E53" s="29"/>
      <c r="F53" s="19" t="s">
        <v>179</v>
      </c>
      <c r="G53" s="112">
        <f>'Memória de Cálculo'!O55</f>
        <v>3</v>
      </c>
      <c r="H53" s="115">
        <f>G53/G57</f>
        <v>0.11538461538461539</v>
      </c>
      <c r="I53" s="29"/>
      <c r="M53" s="29"/>
      <c r="N53" s="75"/>
      <c r="O53" s="75"/>
      <c r="P53" s="66"/>
      <c r="Q53" s="66"/>
      <c r="R53" s="42"/>
    </row>
    <row r="54" spans="1:18" x14ac:dyDescent="0.25">
      <c r="A54" s="19" t="s">
        <v>180</v>
      </c>
      <c r="B54" s="112">
        <f>'Memória de Cálculo'!F41</f>
        <v>2</v>
      </c>
      <c r="C54" s="115">
        <f>B54/B57</f>
        <v>0.10526315789473684</v>
      </c>
      <c r="D54" s="75"/>
      <c r="E54" s="29"/>
      <c r="F54" s="19" t="s">
        <v>180</v>
      </c>
      <c r="G54" s="112">
        <f>'Memória de Cálculo'!O56</f>
        <v>1</v>
      </c>
      <c r="H54" s="115">
        <f>G54/G57</f>
        <v>3.8461538461538464E-2</v>
      </c>
      <c r="I54" s="29"/>
      <c r="M54" s="29"/>
      <c r="N54" s="29"/>
      <c r="O54" s="29"/>
      <c r="P54" s="42"/>
      <c r="Q54" s="42"/>
      <c r="R54" s="42"/>
    </row>
    <row r="55" spans="1:18" x14ac:dyDescent="0.25">
      <c r="A55" s="19" t="s">
        <v>181</v>
      </c>
      <c r="B55" s="112">
        <f>'Memória de Cálculo'!F42</f>
        <v>2</v>
      </c>
      <c r="C55" s="115">
        <f>B55/B57</f>
        <v>0.10526315789473684</v>
      </c>
      <c r="D55" s="75"/>
      <c r="E55" s="29"/>
      <c r="F55" s="19" t="s">
        <v>181</v>
      </c>
      <c r="G55" s="112">
        <f>'Memória de Cálculo'!O57</f>
        <v>3</v>
      </c>
      <c r="H55" s="115">
        <f>G55/G57</f>
        <v>0.11538461538461539</v>
      </c>
      <c r="I55" s="29"/>
      <c r="M55" s="29"/>
      <c r="N55" s="29"/>
      <c r="O55" s="29"/>
      <c r="P55" s="42"/>
      <c r="Q55" s="42"/>
      <c r="R55" s="42"/>
    </row>
    <row r="56" spans="1:18" x14ac:dyDescent="0.25">
      <c r="A56" s="19" t="s">
        <v>182</v>
      </c>
      <c r="B56" s="112">
        <f>'Memória de Cálculo'!F43</f>
        <v>2</v>
      </c>
      <c r="C56" s="115">
        <f>B56/B57</f>
        <v>0.10526315789473684</v>
      </c>
      <c r="D56" s="75"/>
      <c r="E56" s="29"/>
      <c r="F56" s="19" t="s">
        <v>182</v>
      </c>
      <c r="G56" s="112">
        <f>'Memória de Cálculo'!O58</f>
        <v>2</v>
      </c>
      <c r="H56" s="115">
        <f>G56/G57</f>
        <v>7.6923076923076927E-2</v>
      </c>
      <c r="I56" s="29"/>
      <c r="M56" s="29"/>
      <c r="N56" s="29"/>
      <c r="O56" s="29"/>
      <c r="P56" s="42"/>
      <c r="Q56" s="42"/>
      <c r="R56" s="42"/>
    </row>
    <row r="57" spans="1:18" x14ac:dyDescent="0.25">
      <c r="A57" s="19" t="s">
        <v>78</v>
      </c>
      <c r="B57" s="112">
        <f>B47+B48+B49+B50+B51+B52+B53+B54+B55+B56</f>
        <v>19</v>
      </c>
      <c r="C57" s="115">
        <f>SUM(C47:C56)</f>
        <v>0.99999999999999989</v>
      </c>
      <c r="D57" s="75"/>
      <c r="E57" s="29"/>
      <c r="F57" s="20" t="s">
        <v>78</v>
      </c>
      <c r="G57" s="112">
        <f>G47+G48+G49+G50+G51+G52+G53+G54+G55+G56</f>
        <v>26</v>
      </c>
      <c r="H57" s="115">
        <f>SUM(H47:H56)</f>
        <v>1.0000000000000002</v>
      </c>
      <c r="I57" s="29"/>
      <c r="M57" s="29"/>
      <c r="N57" s="29"/>
      <c r="O57" s="29"/>
      <c r="P57" s="42"/>
      <c r="Q57" s="42"/>
      <c r="R57" s="42"/>
    </row>
    <row r="58" spans="1:18" x14ac:dyDescent="0.25">
      <c r="A58" s="63"/>
      <c r="B58" s="63"/>
      <c r="C58" s="23"/>
      <c r="D58" s="75"/>
      <c r="E58" s="29"/>
      <c r="I58" s="29"/>
      <c r="M58" s="29"/>
      <c r="N58" s="29"/>
      <c r="O58" s="29"/>
      <c r="P58" s="42"/>
      <c r="Q58" s="42"/>
      <c r="R58" s="42"/>
    </row>
    <row r="59" spans="1:18" ht="15" customHeight="1" x14ac:dyDescent="0.25">
      <c r="A59" s="12" t="s">
        <v>146</v>
      </c>
      <c r="B59" s="140" t="s">
        <v>8</v>
      </c>
      <c r="C59" s="140"/>
      <c r="D59" s="75"/>
      <c r="E59" s="29"/>
      <c r="F59" s="14" t="s">
        <v>147</v>
      </c>
      <c r="G59" s="139" t="s">
        <v>10</v>
      </c>
      <c r="H59" s="139"/>
      <c r="I59" s="139"/>
      <c r="M59" s="29"/>
      <c r="N59" s="29"/>
      <c r="O59" s="29"/>
      <c r="P59" s="42"/>
      <c r="Q59" s="42"/>
      <c r="R59" s="42"/>
    </row>
    <row r="60" spans="1:18" x14ac:dyDescent="0.25">
      <c r="A60" s="19" t="s">
        <v>58</v>
      </c>
      <c r="B60" s="19" t="s">
        <v>64</v>
      </c>
      <c r="C60" s="19" t="s">
        <v>65</v>
      </c>
      <c r="D60" s="75"/>
      <c r="E60" s="29"/>
      <c r="F60" s="19" t="s">
        <v>58</v>
      </c>
      <c r="G60" s="19" t="s">
        <v>64</v>
      </c>
      <c r="H60" s="24" t="s">
        <v>69</v>
      </c>
      <c r="I60" s="24" t="s">
        <v>65</v>
      </c>
      <c r="M60" s="29"/>
      <c r="N60" s="29"/>
      <c r="O60" s="29"/>
      <c r="P60" s="42"/>
      <c r="Q60" s="42"/>
      <c r="R60" s="42"/>
    </row>
    <row r="61" spans="1:18" x14ac:dyDescent="0.25">
      <c r="A61" s="19" t="s">
        <v>173</v>
      </c>
      <c r="B61" s="112">
        <f>'Memória de Cálculo'!E49</f>
        <v>2</v>
      </c>
      <c r="C61" s="115">
        <f>B61/B71</f>
        <v>0.13333333333333333</v>
      </c>
      <c r="D61" s="29"/>
      <c r="E61" s="29"/>
      <c r="F61" s="19" t="s">
        <v>173</v>
      </c>
      <c r="G61" s="114">
        <f>'Memória de Cálculo'!O64</f>
        <v>1</v>
      </c>
      <c r="H61" s="112">
        <f>G71/G61</f>
        <v>11</v>
      </c>
      <c r="I61" s="115">
        <f>H61/H71</f>
        <v>0.10526315789473684</v>
      </c>
      <c r="J61" s="29"/>
      <c r="K61" s="59"/>
      <c r="L61" s="29"/>
      <c r="M61" s="29"/>
      <c r="N61" s="29"/>
      <c r="O61" s="29"/>
      <c r="P61" s="42"/>
      <c r="Q61" s="42"/>
      <c r="R61" s="42"/>
    </row>
    <row r="62" spans="1:18" x14ac:dyDescent="0.25">
      <c r="A62" s="19" t="s">
        <v>174</v>
      </c>
      <c r="B62" s="112">
        <f>'Memória de Cálculo'!E50</f>
        <v>1</v>
      </c>
      <c r="C62" s="115">
        <f>B62/B71</f>
        <v>6.6666666666666666E-2</v>
      </c>
      <c r="D62" s="29"/>
      <c r="E62" s="29"/>
      <c r="F62" s="19" t="s">
        <v>174</v>
      </c>
      <c r="G62" s="114">
        <f>'Memória de Cálculo'!O65</f>
        <v>1</v>
      </c>
      <c r="H62" s="112">
        <f>G71/G62</f>
        <v>11</v>
      </c>
      <c r="I62" s="115">
        <f>H62/H71</f>
        <v>0.10526315789473684</v>
      </c>
      <c r="J62" s="75"/>
      <c r="K62" s="67"/>
      <c r="N62" s="75"/>
      <c r="O62" s="75"/>
      <c r="P62" s="66"/>
      <c r="Q62" s="66"/>
      <c r="R62" s="42"/>
    </row>
    <row r="63" spans="1:18" x14ac:dyDescent="0.25">
      <c r="A63" s="19" t="s">
        <v>175</v>
      </c>
      <c r="B63" s="112">
        <f>'Memória de Cálculo'!E51</f>
        <v>1</v>
      </c>
      <c r="C63" s="115">
        <f>B63/B71</f>
        <v>6.6666666666666666E-2</v>
      </c>
      <c r="D63" s="29"/>
      <c r="E63" s="29"/>
      <c r="F63" s="19" t="s">
        <v>175</v>
      </c>
      <c r="G63" s="114">
        <f>'Memória de Cálculo'!O66</f>
        <v>1</v>
      </c>
      <c r="H63" s="112">
        <f>G71/G63</f>
        <v>11</v>
      </c>
      <c r="I63" s="115">
        <f>H63/H71</f>
        <v>0.10526315789473684</v>
      </c>
      <c r="J63" s="63"/>
      <c r="K63" s="63"/>
      <c r="N63" s="75"/>
      <c r="O63" s="75"/>
      <c r="P63" s="66"/>
      <c r="Q63" s="66"/>
      <c r="R63" s="42"/>
    </row>
    <row r="64" spans="1:18" x14ac:dyDescent="0.25">
      <c r="A64" s="19" t="s">
        <v>176</v>
      </c>
      <c r="B64" s="112">
        <f>'Memória de Cálculo'!E52</f>
        <v>2</v>
      </c>
      <c r="C64" s="115">
        <f>B64/B71</f>
        <v>0.13333333333333333</v>
      </c>
      <c r="D64" s="75"/>
      <c r="E64" s="29"/>
      <c r="F64" s="19" t="s">
        <v>176</v>
      </c>
      <c r="G64" s="114">
        <f>'Memória de Cálculo'!O67</f>
        <v>1</v>
      </c>
      <c r="H64" s="112">
        <f>G71/G64</f>
        <v>11</v>
      </c>
      <c r="I64" s="115">
        <f>H64/H71</f>
        <v>0.10526315789473684</v>
      </c>
      <c r="J64" s="63"/>
      <c r="K64" s="68"/>
      <c r="N64" s="75"/>
      <c r="O64" s="75"/>
      <c r="P64" s="66"/>
      <c r="Q64" s="66"/>
      <c r="R64" s="42"/>
    </row>
    <row r="65" spans="1:18" x14ac:dyDescent="0.25">
      <c r="A65" s="19" t="s">
        <v>177</v>
      </c>
      <c r="B65" s="112">
        <f>'Memória de Cálculo'!E53</f>
        <v>1</v>
      </c>
      <c r="C65" s="115">
        <f>B65/B71</f>
        <v>6.6666666666666666E-2</v>
      </c>
      <c r="D65" s="29"/>
      <c r="E65" s="29"/>
      <c r="F65" s="19" t="s">
        <v>177</v>
      </c>
      <c r="G65" s="114">
        <f>'Memória de Cálculo'!O68</f>
        <v>1</v>
      </c>
      <c r="H65" s="112">
        <f>G71/G65</f>
        <v>11</v>
      </c>
      <c r="I65" s="115">
        <f>H65/H71</f>
        <v>0.10526315789473684</v>
      </c>
      <c r="J65" s="63"/>
      <c r="K65" s="68"/>
      <c r="N65" s="75"/>
      <c r="O65" s="75"/>
      <c r="P65" s="66"/>
      <c r="Q65" s="66"/>
      <c r="R65" s="42"/>
    </row>
    <row r="66" spans="1:18" x14ac:dyDescent="0.25">
      <c r="A66" s="26" t="s">
        <v>178</v>
      </c>
      <c r="B66" s="112">
        <f>'Memória de Cálculo'!E54</f>
        <v>1</v>
      </c>
      <c r="C66" s="115">
        <f>B66/B71</f>
        <v>6.6666666666666666E-2</v>
      </c>
      <c r="D66" s="29"/>
      <c r="E66" s="29"/>
      <c r="F66" s="26" t="s">
        <v>178</v>
      </c>
      <c r="G66" s="114">
        <f>'Memória de Cálculo'!O69</f>
        <v>1</v>
      </c>
      <c r="H66" s="112">
        <f>G71/G66</f>
        <v>11</v>
      </c>
      <c r="I66" s="115">
        <f>H66/H71</f>
        <v>0.10526315789473684</v>
      </c>
      <c r="J66" s="63"/>
      <c r="K66" s="68"/>
      <c r="N66" s="75"/>
      <c r="O66" s="75"/>
      <c r="P66" s="66"/>
      <c r="Q66" s="66"/>
      <c r="R66" s="42"/>
    </row>
    <row r="67" spans="1:18" x14ac:dyDescent="0.25">
      <c r="A67" s="19" t="s">
        <v>179</v>
      </c>
      <c r="B67" s="112">
        <f>'Memória de Cálculo'!E55</f>
        <v>2</v>
      </c>
      <c r="C67" s="115">
        <f>B67/B71</f>
        <v>0.13333333333333333</v>
      </c>
      <c r="D67" s="29"/>
      <c r="E67" s="29"/>
      <c r="F67" s="19" t="s">
        <v>179</v>
      </c>
      <c r="G67" s="114">
        <f>'Memória de Cálculo'!O70</f>
        <v>2</v>
      </c>
      <c r="H67" s="112">
        <f>G71/G67</f>
        <v>5.5</v>
      </c>
      <c r="I67" s="115">
        <f>H67/H71</f>
        <v>5.2631578947368418E-2</v>
      </c>
      <c r="J67" s="63"/>
      <c r="K67" s="68"/>
      <c r="N67" s="75"/>
      <c r="O67" s="75"/>
      <c r="P67" s="66"/>
      <c r="Q67" s="66"/>
      <c r="R67" s="42"/>
    </row>
    <row r="68" spans="1:18" x14ac:dyDescent="0.25">
      <c r="A68" s="19" t="s">
        <v>180</v>
      </c>
      <c r="B68" s="112">
        <f>'Memória de Cálculo'!E56</f>
        <v>2</v>
      </c>
      <c r="C68" s="115">
        <f>B68/B71</f>
        <v>0.13333333333333333</v>
      </c>
      <c r="D68" s="29"/>
      <c r="E68" s="29"/>
      <c r="F68" s="19" t="s">
        <v>180</v>
      </c>
      <c r="G68" s="114">
        <f>'Memória de Cálculo'!O71</f>
        <v>1</v>
      </c>
      <c r="H68" s="112">
        <f>G71/G68</f>
        <v>11</v>
      </c>
      <c r="I68" s="115">
        <f>H68/H71</f>
        <v>0.10526315789473684</v>
      </c>
      <c r="J68" s="63"/>
      <c r="K68" s="68"/>
      <c r="N68" s="29"/>
      <c r="O68" s="29"/>
      <c r="P68" s="42"/>
      <c r="Q68" s="42"/>
      <c r="R68" s="42"/>
    </row>
    <row r="69" spans="1:18" x14ac:dyDescent="0.25">
      <c r="A69" s="19" t="s">
        <v>181</v>
      </c>
      <c r="B69" s="112">
        <f>'Memória de Cálculo'!E57</f>
        <v>2</v>
      </c>
      <c r="C69" s="115">
        <f>B69/B71</f>
        <v>0.13333333333333333</v>
      </c>
      <c r="D69" s="29"/>
      <c r="E69" s="29"/>
      <c r="F69" s="19" t="s">
        <v>181</v>
      </c>
      <c r="G69" s="114">
        <f>'Memória de Cálculo'!O72</f>
        <v>1</v>
      </c>
      <c r="H69" s="112">
        <f>G71/G69</f>
        <v>11</v>
      </c>
      <c r="I69" s="115">
        <f>H69/H71</f>
        <v>0.10526315789473684</v>
      </c>
      <c r="J69" s="63"/>
      <c r="K69" s="68"/>
      <c r="N69" s="29"/>
      <c r="O69" s="29"/>
      <c r="P69" s="42"/>
      <c r="Q69" s="42"/>
      <c r="R69" s="42"/>
    </row>
    <row r="70" spans="1:18" x14ac:dyDescent="0.25">
      <c r="A70" s="19" t="s">
        <v>182</v>
      </c>
      <c r="B70" s="112">
        <f>'Memória de Cálculo'!E58</f>
        <v>1</v>
      </c>
      <c r="C70" s="115">
        <f>B70/B71</f>
        <v>6.6666666666666666E-2</v>
      </c>
      <c r="D70" s="29"/>
      <c r="E70" s="29"/>
      <c r="F70" s="19" t="s">
        <v>182</v>
      </c>
      <c r="G70" s="114">
        <f>'Memória de Cálculo'!O73</f>
        <v>1</v>
      </c>
      <c r="H70" s="112">
        <f>G71/G70</f>
        <v>11</v>
      </c>
      <c r="I70" s="115">
        <f>H70/H71</f>
        <v>0.10526315789473684</v>
      </c>
      <c r="J70" s="63"/>
      <c r="K70" s="68"/>
      <c r="N70" s="29"/>
      <c r="O70" s="29"/>
      <c r="P70" s="42"/>
      <c r="Q70" s="42"/>
      <c r="R70" s="42"/>
    </row>
    <row r="71" spans="1:18" x14ac:dyDescent="0.25">
      <c r="A71" s="19" t="s">
        <v>78</v>
      </c>
      <c r="B71" s="112">
        <f>B61+B62+B63+B64+B65+B66+B67+B68+B69+B70</f>
        <v>15</v>
      </c>
      <c r="C71" s="115">
        <f>SUM(C61:C70)</f>
        <v>0.99999999999999989</v>
      </c>
      <c r="D71" s="29"/>
      <c r="E71" s="29"/>
      <c r="F71" s="20" t="s">
        <v>78</v>
      </c>
      <c r="G71" s="114">
        <f>G61+G62+G63+G64+G65+G66+G67+G68+G69+G70</f>
        <v>11</v>
      </c>
      <c r="H71" s="112">
        <f>H61+H62+H63+H64+H65+H66+H67+H68+H69+H70</f>
        <v>104.5</v>
      </c>
      <c r="I71" s="115">
        <f>SUM(I61:I70)</f>
        <v>0.99999999999999989</v>
      </c>
      <c r="J71" s="63"/>
      <c r="K71" s="68"/>
      <c r="N71" s="29"/>
      <c r="O71" s="29"/>
      <c r="P71" s="42"/>
      <c r="Q71" s="42"/>
      <c r="R71" s="42"/>
    </row>
    <row r="72" spans="1:18" x14ac:dyDescent="0.25">
      <c r="D72" s="29"/>
      <c r="E72" s="29"/>
      <c r="J72" s="63"/>
      <c r="K72" s="68"/>
      <c r="N72" s="29"/>
      <c r="O72" s="29"/>
      <c r="P72" s="42"/>
      <c r="Q72" s="42"/>
      <c r="R72" s="42"/>
    </row>
    <row r="73" spans="1:18" ht="15" customHeight="1" x14ac:dyDescent="0.25">
      <c r="A73" s="12" t="s">
        <v>148</v>
      </c>
      <c r="B73" s="140" t="s">
        <v>10</v>
      </c>
      <c r="C73" s="140"/>
      <c r="D73" s="140"/>
      <c r="E73" s="29"/>
      <c r="F73" s="14" t="s">
        <v>184</v>
      </c>
      <c r="G73" s="140" t="s">
        <v>149</v>
      </c>
      <c r="H73" s="140"/>
      <c r="I73" s="12" t="s">
        <v>10</v>
      </c>
      <c r="J73" s="63"/>
      <c r="K73" s="68"/>
      <c r="N73" s="29"/>
      <c r="O73" s="29"/>
      <c r="P73" s="42"/>
      <c r="Q73" s="42"/>
      <c r="R73" s="42"/>
    </row>
    <row r="74" spans="1:18" x14ac:dyDescent="0.25">
      <c r="A74" s="112" t="s">
        <v>58</v>
      </c>
      <c r="B74" s="112" t="s">
        <v>64</v>
      </c>
      <c r="C74" s="121" t="s">
        <v>69</v>
      </c>
      <c r="D74" s="121" t="s">
        <v>65</v>
      </c>
      <c r="E74" s="29"/>
      <c r="F74" s="19" t="s">
        <v>58</v>
      </c>
      <c r="G74" s="19" t="s">
        <v>107</v>
      </c>
      <c r="H74" s="24" t="s">
        <v>69</v>
      </c>
      <c r="I74" s="24" t="s">
        <v>65</v>
      </c>
      <c r="J74" s="63"/>
      <c r="K74" s="68"/>
      <c r="N74" s="29"/>
      <c r="O74" s="29"/>
      <c r="P74" s="42"/>
      <c r="Q74" s="42"/>
      <c r="R74" s="42"/>
    </row>
    <row r="75" spans="1:18" x14ac:dyDescent="0.25">
      <c r="A75" s="112" t="s">
        <v>173</v>
      </c>
      <c r="B75" s="113">
        <f>'Memória de Cálculo'!R4</f>
        <v>2</v>
      </c>
      <c r="C75" s="113">
        <f>B85/B75</f>
        <v>9.5</v>
      </c>
      <c r="D75" s="123">
        <f>C75/C85</f>
        <v>7.6923076923076927E-2</v>
      </c>
      <c r="E75" s="29"/>
      <c r="F75" s="19" t="s">
        <v>173</v>
      </c>
      <c r="G75" s="128">
        <f>'Memória de Cálculo'!N80</f>
        <v>4657227.63</v>
      </c>
      <c r="H75" s="114">
        <f>G85/G75</f>
        <v>13.043131054773029</v>
      </c>
      <c r="I75" s="115">
        <f>H75/H85</f>
        <v>4.723410126147945E-2</v>
      </c>
      <c r="J75" s="29"/>
      <c r="K75" s="59"/>
      <c r="L75" s="29"/>
      <c r="M75" s="29"/>
      <c r="N75" s="29"/>
      <c r="O75" s="29"/>
      <c r="P75" s="42"/>
      <c r="Q75" s="42"/>
      <c r="R75" s="42"/>
    </row>
    <row r="76" spans="1:18" x14ac:dyDescent="0.25">
      <c r="A76" s="112" t="s">
        <v>174</v>
      </c>
      <c r="B76" s="113">
        <f>'Memória de Cálculo'!R5</f>
        <v>3</v>
      </c>
      <c r="C76" s="113">
        <f>B85/B76</f>
        <v>6.333333333333333</v>
      </c>
      <c r="D76" s="123">
        <f>C76/C85</f>
        <v>5.128205128205128E-2</v>
      </c>
      <c r="E76" s="29"/>
      <c r="F76" s="19" t="s">
        <v>174</v>
      </c>
      <c r="G76" s="128">
        <f>'Memória de Cálculo'!N81</f>
        <v>22776069.77</v>
      </c>
      <c r="H76" s="114">
        <f>G85/G76</f>
        <v>2.6670461999555068</v>
      </c>
      <c r="I76" s="115">
        <f>H76/H85</f>
        <v>9.6583810857012471E-3</v>
      </c>
      <c r="J76" s="29"/>
      <c r="K76" s="59"/>
      <c r="N76" s="29"/>
      <c r="O76" s="29"/>
      <c r="P76" s="42"/>
      <c r="Q76" s="42"/>
      <c r="R76" s="42"/>
    </row>
    <row r="77" spans="1:18" x14ac:dyDescent="0.25">
      <c r="A77" s="112" t="s">
        <v>175</v>
      </c>
      <c r="B77" s="113">
        <f>'Memória de Cálculo'!R6</f>
        <v>2</v>
      </c>
      <c r="C77" s="113">
        <f>B85/B77</f>
        <v>9.5</v>
      </c>
      <c r="D77" s="123">
        <f>C77/C85</f>
        <v>7.6923076923076927E-2</v>
      </c>
      <c r="E77" s="29"/>
      <c r="F77" s="19" t="s">
        <v>175</v>
      </c>
      <c r="G77" s="128">
        <f>'Memória de Cálculo'!N82</f>
        <v>814791.56</v>
      </c>
      <c r="H77" s="114">
        <f>G85/G77</f>
        <v>74.552601318059786</v>
      </c>
      <c r="I77" s="115">
        <f>H77/H85</f>
        <v>0.26998311258057206</v>
      </c>
      <c r="J77" s="29"/>
      <c r="K77" s="59"/>
      <c r="N77" s="29"/>
      <c r="O77" s="29"/>
      <c r="P77" s="42"/>
      <c r="Q77" s="42"/>
      <c r="R77" s="42"/>
    </row>
    <row r="78" spans="1:18" x14ac:dyDescent="0.25">
      <c r="A78" s="112" t="s">
        <v>176</v>
      </c>
      <c r="B78" s="113">
        <f>'Memória de Cálculo'!R7</f>
        <v>3</v>
      </c>
      <c r="C78" s="113">
        <f>B85/B78</f>
        <v>6.333333333333333</v>
      </c>
      <c r="D78" s="123">
        <f>C78/C85</f>
        <v>5.128205128205128E-2</v>
      </c>
      <c r="E78" s="29"/>
      <c r="F78" s="19" t="s">
        <v>176</v>
      </c>
      <c r="G78" s="128">
        <f>'Memória de Cálculo'!N83</f>
        <v>3718229.87</v>
      </c>
      <c r="H78" s="114">
        <f>G85/G78</f>
        <v>16.33702929991254</v>
      </c>
      <c r="I78" s="115">
        <f>H78/H85</f>
        <v>5.9162550236083154E-2</v>
      </c>
      <c r="J78" s="29"/>
      <c r="K78" s="59"/>
      <c r="N78" s="29"/>
      <c r="O78" s="29"/>
      <c r="P78" s="42"/>
      <c r="Q78" s="42"/>
      <c r="R78" s="42"/>
    </row>
    <row r="79" spans="1:18" x14ac:dyDescent="0.25">
      <c r="A79" s="112" t="s">
        <v>177</v>
      </c>
      <c r="B79" s="113">
        <f>'Memória de Cálculo'!R8</f>
        <v>1</v>
      </c>
      <c r="C79" s="113">
        <f>B85/B79</f>
        <v>19</v>
      </c>
      <c r="D79" s="123">
        <f>C79/C85</f>
        <v>0.15384615384615385</v>
      </c>
      <c r="E79" s="29"/>
      <c r="F79" s="19" t="s">
        <v>177</v>
      </c>
      <c r="G79" s="128">
        <f>'Memória de Cálculo'!N84</f>
        <v>895535.16</v>
      </c>
      <c r="H79" s="114">
        <f>G85/G79</f>
        <v>67.830759799537063</v>
      </c>
      <c r="I79" s="115">
        <f>H79/H85</f>
        <v>0.24564078698281364</v>
      </c>
      <c r="J79" s="29"/>
      <c r="K79" s="59"/>
      <c r="N79" s="29"/>
      <c r="O79" s="29"/>
      <c r="P79" s="42"/>
      <c r="Q79" s="42"/>
      <c r="R79" s="42"/>
    </row>
    <row r="80" spans="1:18" x14ac:dyDescent="0.25">
      <c r="A80" s="116" t="s">
        <v>178</v>
      </c>
      <c r="B80" s="113">
        <f>'Memória de Cálculo'!R9</f>
        <v>3</v>
      </c>
      <c r="C80" s="113">
        <f>B85/B80</f>
        <v>6.333333333333333</v>
      </c>
      <c r="D80" s="123">
        <f>C80/C85</f>
        <v>5.128205128205128E-2</v>
      </c>
      <c r="E80" s="29"/>
      <c r="F80" s="26" t="s">
        <v>178</v>
      </c>
      <c r="G80" s="128">
        <f>'Memória de Cálculo'!N85</f>
        <v>8107217.4500000002</v>
      </c>
      <c r="H80" s="114">
        <f>G85/G80</f>
        <v>7.4926854626305843</v>
      </c>
      <c r="I80" s="115">
        <f>H80/H85</f>
        <v>2.7133842508835129E-2</v>
      </c>
      <c r="J80" s="29"/>
      <c r="K80" s="59"/>
      <c r="N80" s="29"/>
      <c r="O80" s="29"/>
      <c r="P80" s="42"/>
      <c r="Q80" s="42"/>
      <c r="R80" s="42"/>
    </row>
    <row r="81" spans="1:18" x14ac:dyDescent="0.25">
      <c r="A81" s="112" t="s">
        <v>179</v>
      </c>
      <c r="B81" s="113">
        <f>'Memória de Cálculo'!R10</f>
        <v>1</v>
      </c>
      <c r="C81" s="113">
        <f>B85/B81</f>
        <v>19</v>
      </c>
      <c r="D81" s="123">
        <f>C81/C85</f>
        <v>0.15384615384615385</v>
      </c>
      <c r="E81" s="29"/>
      <c r="F81" s="19" t="s">
        <v>179</v>
      </c>
      <c r="G81" s="128">
        <f>'Memória de Cálculo'!N86</f>
        <v>3451661.4</v>
      </c>
      <c r="H81" s="114">
        <f>G85/G81</f>
        <v>17.598722264588293</v>
      </c>
      <c r="I81" s="115">
        <f>H81/H85</f>
        <v>6.37316167435137E-2</v>
      </c>
      <c r="J81" s="29"/>
      <c r="K81" s="59"/>
      <c r="N81" s="29"/>
      <c r="O81" s="29"/>
      <c r="P81" s="42"/>
      <c r="Q81" s="42"/>
      <c r="R81" s="42"/>
    </row>
    <row r="82" spans="1:18" x14ac:dyDescent="0.25">
      <c r="A82" s="112" t="s">
        <v>180</v>
      </c>
      <c r="B82" s="113">
        <f>'Memória de Cálculo'!R11</f>
        <v>1</v>
      </c>
      <c r="C82" s="113">
        <f>B85/B82</f>
        <v>19</v>
      </c>
      <c r="D82" s="123">
        <f>C82/C85</f>
        <v>0.15384615384615385</v>
      </c>
      <c r="E82" s="29"/>
      <c r="F82" s="19" t="s">
        <v>180</v>
      </c>
      <c r="G82" s="128">
        <f>'Memória de Cálculo'!N87</f>
        <v>1618875.78</v>
      </c>
      <c r="H82" s="114">
        <f>G85/G82</f>
        <v>37.522848312672885</v>
      </c>
      <c r="I82" s="115">
        <f>H82/H85</f>
        <v>0.13588439841454664</v>
      </c>
      <c r="J82" s="29"/>
      <c r="K82" s="59"/>
      <c r="N82" s="29"/>
      <c r="O82" s="29"/>
      <c r="P82" s="42"/>
      <c r="Q82" s="42"/>
      <c r="R82" s="42"/>
    </row>
    <row r="83" spans="1:18" x14ac:dyDescent="0.25">
      <c r="A83" s="112" t="s">
        <v>181</v>
      </c>
      <c r="B83" s="113">
        <f>'Memória de Cálculo'!R12</f>
        <v>1</v>
      </c>
      <c r="C83" s="113">
        <f>B85/B83</f>
        <v>19</v>
      </c>
      <c r="D83" s="123">
        <f>C83/C85</f>
        <v>0.15384615384615385</v>
      </c>
      <c r="E83" s="29"/>
      <c r="F83" s="19" t="s">
        <v>181</v>
      </c>
      <c r="G83" s="128">
        <f>'Memória de Cálculo'!N88</f>
        <v>1765910.06</v>
      </c>
      <c r="H83" s="114">
        <f>G85/G83</f>
        <v>34.398598040717879</v>
      </c>
      <c r="I83" s="115">
        <f>H83/H85</f>
        <v>0.12457030879204568</v>
      </c>
      <c r="J83" s="29"/>
      <c r="K83" s="59"/>
      <c r="N83" s="29"/>
      <c r="O83" s="29"/>
      <c r="P83" s="42"/>
      <c r="Q83" s="42"/>
      <c r="R83" s="42"/>
    </row>
    <row r="84" spans="1:18" x14ac:dyDescent="0.25">
      <c r="A84" s="112" t="s">
        <v>182</v>
      </c>
      <c r="B84" s="113">
        <f>'Memória de Cálculo'!R13</f>
        <v>2</v>
      </c>
      <c r="C84" s="113">
        <f>B85/B84</f>
        <v>9.5</v>
      </c>
      <c r="D84" s="123">
        <f>C84/C85</f>
        <v>7.6923076923076927E-2</v>
      </c>
      <c r="E84" s="29"/>
      <c r="F84" s="19" t="s">
        <v>182</v>
      </c>
      <c r="G84" s="128">
        <f>'Memória de Cálculo'!N89</f>
        <v>12939311.65</v>
      </c>
      <c r="H84" s="114">
        <f>G85/G84</f>
        <v>4.6945951974191766</v>
      </c>
      <c r="I84" s="115">
        <f>H84/H85</f>
        <v>1.7000901394409181E-2</v>
      </c>
      <c r="J84" s="29"/>
      <c r="K84" s="59"/>
      <c r="N84" s="29"/>
      <c r="O84" s="29"/>
      <c r="P84" s="42"/>
      <c r="Q84" s="42"/>
      <c r="R84" s="42"/>
    </row>
    <row r="85" spans="1:18" x14ac:dyDescent="0.25">
      <c r="A85" s="112" t="s">
        <v>78</v>
      </c>
      <c r="B85" s="113">
        <f>B75+B76+B77+B78+B79+B80+B81+B82+B83+B84</f>
        <v>19</v>
      </c>
      <c r="C85" s="113">
        <f>C75+C76+C77+C78+C79+C80+C81+C82+C83+C84</f>
        <v>123.5</v>
      </c>
      <c r="D85" s="123">
        <f>SUM(D75:D84)</f>
        <v>1</v>
      </c>
      <c r="E85" s="29"/>
      <c r="F85" s="20" t="s">
        <v>78</v>
      </c>
      <c r="G85" s="128">
        <f>SUM(G75:G84)</f>
        <v>60744830.329999998</v>
      </c>
      <c r="H85" s="114">
        <f>H75+H76+H77+H78+H79+H80+H81+H82+H83+H84</f>
        <v>276.13801695026677</v>
      </c>
      <c r="I85" s="115">
        <f>SUM(I75:I84)</f>
        <v>0.99999999999999978</v>
      </c>
      <c r="J85" s="29"/>
      <c r="K85" s="59"/>
      <c r="N85" s="29"/>
      <c r="O85" s="29"/>
      <c r="P85" s="42"/>
      <c r="Q85" s="42"/>
      <c r="R85" s="42"/>
    </row>
    <row r="86" spans="1:18" x14ac:dyDescent="0.25">
      <c r="E86" s="29"/>
      <c r="F86" s="29"/>
      <c r="G86" s="29"/>
      <c r="H86" s="29"/>
      <c r="I86" s="29"/>
      <c r="J86" s="29"/>
      <c r="K86" s="59"/>
      <c r="N86" s="29"/>
      <c r="O86" s="29"/>
      <c r="P86" s="42"/>
      <c r="Q86" s="42"/>
      <c r="R86" s="42"/>
    </row>
    <row r="87" spans="1:18" x14ac:dyDescent="0.25">
      <c r="E87" s="29"/>
      <c r="F87" s="29"/>
      <c r="G87" s="29"/>
      <c r="H87" s="29"/>
      <c r="I87" s="29"/>
      <c r="J87" s="29"/>
      <c r="K87" s="59"/>
      <c r="N87" s="29"/>
      <c r="O87" s="29"/>
      <c r="P87" s="42"/>
      <c r="Q87" s="42"/>
      <c r="R87" s="42"/>
    </row>
    <row r="88" spans="1:18" x14ac:dyDescent="0.25">
      <c r="E88" s="29"/>
      <c r="F88" s="29"/>
      <c r="G88" s="29"/>
      <c r="H88" s="29"/>
      <c r="I88" s="29"/>
      <c r="J88" s="29"/>
      <c r="K88" s="59"/>
      <c r="N88" s="29"/>
      <c r="O88" s="29"/>
      <c r="P88" s="42"/>
      <c r="Q88" s="42"/>
      <c r="R88" s="42"/>
    </row>
    <row r="89" spans="1:18" x14ac:dyDescent="0.25">
      <c r="E89" s="29"/>
      <c r="F89" s="29"/>
      <c r="G89" s="29"/>
      <c r="H89" s="29"/>
      <c r="I89" s="29"/>
      <c r="J89" s="29"/>
      <c r="K89" s="59"/>
      <c r="L89" s="29"/>
      <c r="M89" s="29"/>
      <c r="N89" s="29"/>
      <c r="O89" s="29"/>
      <c r="P89" s="42"/>
      <c r="Q89" s="42"/>
      <c r="R89" s="42"/>
    </row>
    <row r="90" spans="1:18" x14ac:dyDescent="0.25">
      <c r="E90" s="29"/>
      <c r="F90" s="29"/>
      <c r="G90" s="29"/>
      <c r="H90" s="29"/>
      <c r="I90" s="29"/>
      <c r="J90" s="29"/>
      <c r="K90" s="59"/>
      <c r="L90" s="29"/>
      <c r="M90" s="29"/>
      <c r="N90" s="29"/>
      <c r="O90" s="29"/>
      <c r="P90" s="42"/>
      <c r="Q90" s="42"/>
      <c r="R90" s="42"/>
    </row>
    <row r="91" spans="1:18" x14ac:dyDescent="0.25">
      <c r="E91" s="29"/>
      <c r="F91" s="29"/>
      <c r="G91" s="29"/>
      <c r="H91" s="29"/>
      <c r="I91" s="29"/>
      <c r="J91" s="29"/>
      <c r="K91" s="59"/>
      <c r="L91" s="29"/>
      <c r="M91" s="29"/>
      <c r="N91" s="29"/>
      <c r="O91" s="29"/>
      <c r="P91" s="42"/>
      <c r="Q91" s="42"/>
      <c r="R91" s="42"/>
    </row>
    <row r="92" spans="1:18" x14ac:dyDescent="0.25">
      <c r="A92" s="29"/>
      <c r="B92" s="29"/>
      <c r="C92" s="29"/>
      <c r="D92" s="29"/>
      <c r="E92" s="29"/>
      <c r="F92" s="29"/>
      <c r="G92" s="29"/>
      <c r="H92" s="29"/>
      <c r="I92" s="29"/>
      <c r="J92" s="29"/>
      <c r="K92" s="59"/>
      <c r="L92" s="29"/>
      <c r="M92" s="29"/>
      <c r="N92" s="29"/>
      <c r="O92" s="29"/>
      <c r="P92" s="42"/>
      <c r="Q92" s="42"/>
      <c r="R92" s="42"/>
    </row>
    <row r="93" spans="1:18" x14ac:dyDescent="0.25">
      <c r="A93" s="75"/>
      <c r="B93" s="149"/>
      <c r="C93" s="149"/>
      <c r="D93" s="75"/>
      <c r="E93" s="29"/>
      <c r="F93" s="29"/>
      <c r="G93" s="29"/>
      <c r="H93" s="29"/>
      <c r="I93" s="29"/>
      <c r="J93" s="29"/>
      <c r="K93" s="59"/>
      <c r="L93" s="29"/>
      <c r="M93" s="29"/>
      <c r="N93" s="29"/>
      <c r="O93" s="29"/>
      <c r="P93" s="42"/>
      <c r="Q93" s="42"/>
      <c r="R93" s="42"/>
    </row>
    <row r="94" spans="1:18" x14ac:dyDescent="0.25">
      <c r="A94" s="63"/>
      <c r="B94" s="63"/>
      <c r="C94" s="75"/>
      <c r="D94" s="75"/>
      <c r="E94" s="29"/>
      <c r="F94" s="29"/>
      <c r="G94" s="29"/>
      <c r="H94" s="29"/>
      <c r="I94" s="29"/>
      <c r="J94" s="29"/>
      <c r="K94" s="59"/>
      <c r="L94" s="29"/>
      <c r="M94" s="29"/>
      <c r="N94" s="29"/>
      <c r="O94" s="29"/>
      <c r="P94" s="42"/>
      <c r="Q94" s="42"/>
      <c r="R94" s="42"/>
    </row>
    <row r="95" spans="1:18" x14ac:dyDescent="0.25">
      <c r="A95" s="63"/>
      <c r="B95" s="63"/>
      <c r="C95" s="23"/>
      <c r="D95" s="75"/>
      <c r="E95" s="29"/>
      <c r="F95" s="29"/>
      <c r="G95" s="29"/>
      <c r="H95" s="29"/>
      <c r="I95" s="29"/>
      <c r="J95" s="29"/>
      <c r="K95" s="59"/>
      <c r="L95" s="29"/>
      <c r="M95" s="29"/>
      <c r="N95" s="29"/>
      <c r="O95" s="29"/>
      <c r="P95" s="42"/>
      <c r="Q95" s="42"/>
      <c r="R95" s="42"/>
    </row>
    <row r="96" spans="1:18" x14ac:dyDescent="0.25">
      <c r="A96" s="63"/>
      <c r="B96" s="63"/>
      <c r="C96" s="23"/>
      <c r="D96" s="75"/>
      <c r="E96" s="29"/>
      <c r="F96" s="29"/>
      <c r="G96" s="29"/>
      <c r="H96" s="29"/>
      <c r="I96" s="29"/>
      <c r="J96" s="29"/>
      <c r="K96" s="59"/>
      <c r="L96" s="29"/>
      <c r="M96" s="29"/>
      <c r="N96" s="29"/>
      <c r="O96" s="29"/>
      <c r="P96" s="42"/>
      <c r="Q96" s="42"/>
      <c r="R96" s="42"/>
    </row>
    <row r="97" spans="1:18" x14ac:dyDescent="0.25">
      <c r="A97" s="63"/>
      <c r="B97" s="63"/>
      <c r="C97" s="23"/>
      <c r="D97" s="75"/>
      <c r="E97" s="29"/>
      <c r="F97" s="29"/>
      <c r="G97" s="29"/>
      <c r="H97" s="29"/>
      <c r="I97" s="29"/>
      <c r="J97" s="29"/>
      <c r="K97" s="59"/>
      <c r="L97" s="29"/>
      <c r="M97" s="29"/>
      <c r="N97" s="29"/>
      <c r="O97" s="29"/>
      <c r="P97" s="42"/>
      <c r="Q97" s="42"/>
      <c r="R97" s="42"/>
    </row>
    <row r="98" spans="1:18" x14ac:dyDescent="0.25">
      <c r="A98" s="69"/>
      <c r="B98" s="69"/>
      <c r="C98" s="70"/>
      <c r="D98" s="66"/>
      <c r="E98" s="42"/>
      <c r="F98" s="42"/>
      <c r="G98" s="42"/>
      <c r="H98" s="42"/>
      <c r="I98" s="42"/>
      <c r="J98" s="42"/>
      <c r="K98" s="71"/>
      <c r="L98" s="42"/>
      <c r="M98" s="42"/>
      <c r="N98" s="42"/>
      <c r="O98" s="42"/>
      <c r="P98" s="42"/>
      <c r="Q98" s="42"/>
      <c r="R98" s="42"/>
    </row>
    <row r="99" spans="1:18" x14ac:dyDescent="0.25">
      <c r="A99" s="72"/>
      <c r="B99" s="69"/>
      <c r="C99" s="70"/>
      <c r="D99" s="73"/>
      <c r="E99" s="31"/>
      <c r="F99" s="31"/>
      <c r="G99" s="31"/>
      <c r="H99" s="31"/>
      <c r="I99" s="31"/>
      <c r="J99" s="42"/>
      <c r="K99" s="10"/>
      <c r="L99" s="31"/>
      <c r="M99" s="31"/>
      <c r="N99" s="31"/>
    </row>
    <row r="100" spans="1:18" x14ac:dyDescent="0.25">
      <c r="A100" s="72"/>
      <c r="B100" s="69"/>
      <c r="C100" s="70"/>
      <c r="D100" s="73"/>
      <c r="E100" s="31"/>
      <c r="F100" s="31"/>
      <c r="G100" s="31"/>
      <c r="H100" s="31"/>
      <c r="I100" s="31"/>
      <c r="J100" s="42"/>
      <c r="K100" s="10"/>
      <c r="L100" s="31"/>
      <c r="M100" s="31"/>
      <c r="N100" s="31"/>
    </row>
    <row r="101" spans="1:18" x14ac:dyDescent="0.25">
      <c r="A101" s="72"/>
      <c r="B101" s="69"/>
      <c r="C101" s="70"/>
      <c r="D101" s="73"/>
      <c r="E101" s="31"/>
      <c r="F101" s="31"/>
      <c r="G101" s="31"/>
      <c r="H101" s="31"/>
      <c r="I101" s="31"/>
      <c r="J101" s="42"/>
      <c r="K101" s="10"/>
      <c r="L101" s="31"/>
      <c r="M101" s="31"/>
      <c r="N101" s="31"/>
    </row>
    <row r="102" spans="1:18" x14ac:dyDescent="0.25">
      <c r="A102" s="72"/>
      <c r="B102" s="69"/>
      <c r="C102" s="70"/>
      <c r="D102" s="73"/>
      <c r="E102" s="31"/>
      <c r="F102" s="31"/>
      <c r="G102" s="31"/>
      <c r="H102" s="31"/>
      <c r="I102" s="31"/>
      <c r="J102" s="42"/>
      <c r="K102" s="10"/>
      <c r="L102" s="31"/>
      <c r="M102" s="31"/>
      <c r="N102" s="31"/>
    </row>
    <row r="103" spans="1:18" x14ac:dyDescent="0.25">
      <c r="A103" s="72"/>
      <c r="B103" s="69"/>
      <c r="C103" s="70"/>
      <c r="D103" s="73"/>
      <c r="E103" s="31"/>
      <c r="F103" s="31"/>
      <c r="G103" s="31"/>
      <c r="H103" s="31"/>
      <c r="I103" s="31"/>
      <c r="J103" s="42"/>
      <c r="K103" s="10"/>
      <c r="L103" s="31"/>
      <c r="M103" s="31"/>
      <c r="N103" s="31"/>
    </row>
    <row r="104" spans="1:18" x14ac:dyDescent="0.25">
      <c r="A104" s="72"/>
      <c r="B104" s="69"/>
      <c r="C104" s="70"/>
      <c r="D104" s="73"/>
      <c r="E104" s="31"/>
      <c r="F104" s="31"/>
      <c r="G104" s="31"/>
      <c r="H104" s="31"/>
      <c r="I104" s="31"/>
      <c r="J104" s="42"/>
      <c r="K104" s="10"/>
      <c r="L104" s="31"/>
      <c r="M104" s="31"/>
      <c r="N104" s="31"/>
    </row>
    <row r="105" spans="1:18" x14ac:dyDescent="0.25">
      <c r="A105" s="72"/>
      <c r="B105" s="69"/>
      <c r="C105" s="74"/>
      <c r="D105" s="73"/>
      <c r="E105" s="31"/>
      <c r="F105" s="31"/>
      <c r="G105" s="31"/>
      <c r="H105" s="31"/>
      <c r="I105" s="31"/>
      <c r="J105" s="42"/>
      <c r="K105" s="10"/>
      <c r="L105" s="31"/>
      <c r="M105" s="31"/>
      <c r="N105" s="31"/>
    </row>
  </sheetData>
  <sortState ref="P5:R14">
    <sortCondition ref="P5:P14"/>
  </sortState>
  <mergeCells count="16">
    <mergeCell ref="A1:M1"/>
    <mergeCell ref="L3:L4"/>
    <mergeCell ref="M3:M4"/>
    <mergeCell ref="P3:R3"/>
    <mergeCell ref="A5:K5"/>
    <mergeCell ref="B17:C17"/>
    <mergeCell ref="G17:H17"/>
    <mergeCell ref="B73:D73"/>
    <mergeCell ref="G73:H73"/>
    <mergeCell ref="B93:C93"/>
    <mergeCell ref="A31:C31"/>
    <mergeCell ref="G31:I31"/>
    <mergeCell ref="B45:C45"/>
    <mergeCell ref="G45:H45"/>
    <mergeCell ref="B59:C59"/>
    <mergeCell ref="G59:I59"/>
  </mergeCells>
  <pageMargins left="0.51180555555555496" right="0.51180555555555496" top="0.78749999999999998" bottom="0.78749999999999998" header="0.51180555555555496" footer="0.51180555555555496"/>
  <pageSetup paperSize="9" firstPageNumber="0" orientation="portrait" horizontalDpi="300" verticalDpi="300"/>
  <ignoredErrors>
    <ignoredError sqref="Q11:R11"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zoomScaleNormal="100" workbookViewId="0">
      <selection activeCell="Q28" sqref="Q28"/>
    </sheetView>
  </sheetViews>
  <sheetFormatPr defaultColWidth="8.28515625" defaultRowHeight="15" x14ac:dyDescent="0.25"/>
  <cols>
    <col min="1" max="1" width="12.7109375" customWidth="1"/>
    <col min="2" max="13" width="10.7109375" style="31" customWidth="1"/>
    <col min="14" max="14" width="18.28515625" style="31" customWidth="1"/>
    <col min="17" max="17" width="40" customWidth="1"/>
  </cols>
  <sheetData>
    <row r="1" spans="1:17" ht="15" customHeight="1" x14ac:dyDescent="0.25">
      <c r="B1" s="155" t="s">
        <v>108</v>
      </c>
      <c r="C1" s="156" t="s">
        <v>1</v>
      </c>
      <c r="D1" s="156"/>
      <c r="E1" s="156"/>
      <c r="F1" s="156"/>
      <c r="G1" s="156"/>
      <c r="H1" s="156"/>
      <c r="I1" s="156"/>
      <c r="J1" s="156"/>
      <c r="K1" s="156"/>
      <c r="L1" s="156"/>
      <c r="M1" s="156"/>
      <c r="N1" s="156"/>
    </row>
    <row r="2" spans="1:17" x14ac:dyDescent="0.25">
      <c r="A2" s="32"/>
      <c r="B2" s="155"/>
      <c r="C2" s="156"/>
      <c r="D2" s="156"/>
      <c r="E2" s="156"/>
      <c r="F2" s="156"/>
      <c r="G2" s="156"/>
      <c r="H2" s="156"/>
      <c r="I2" s="156"/>
      <c r="J2" s="156"/>
      <c r="K2" s="156"/>
      <c r="L2" s="156"/>
      <c r="M2" s="156"/>
      <c r="N2" s="156"/>
    </row>
    <row r="4" spans="1:17" x14ac:dyDescent="0.25">
      <c r="B4" s="157" t="s">
        <v>109</v>
      </c>
      <c r="C4" s="157"/>
      <c r="D4" s="157"/>
      <c r="E4" s="157"/>
      <c r="F4" s="157"/>
      <c r="G4" s="157"/>
      <c r="H4" s="157"/>
      <c r="I4" s="157"/>
      <c r="J4" s="157"/>
      <c r="K4" s="157"/>
      <c r="L4" s="157"/>
      <c r="M4" s="157"/>
      <c r="N4" s="157"/>
    </row>
    <row r="5" spans="1:17" x14ac:dyDescent="0.25">
      <c r="B5" s="33"/>
      <c r="C5" s="33" t="s">
        <v>110</v>
      </c>
      <c r="D5" s="33" t="s">
        <v>111</v>
      </c>
      <c r="E5" s="33" t="s">
        <v>112</v>
      </c>
      <c r="F5" s="33" t="s">
        <v>113</v>
      </c>
      <c r="G5" s="33" t="s">
        <v>114</v>
      </c>
      <c r="H5" s="33" t="s">
        <v>115</v>
      </c>
      <c r="I5" s="33" t="s">
        <v>116</v>
      </c>
      <c r="J5" s="33" t="s">
        <v>117</v>
      </c>
      <c r="K5" s="33" t="s">
        <v>118</v>
      </c>
      <c r="L5" s="33" t="s">
        <v>119</v>
      </c>
      <c r="M5" s="34" t="s">
        <v>120</v>
      </c>
      <c r="N5" s="34" t="s">
        <v>121</v>
      </c>
    </row>
    <row r="6" spans="1:17" x14ac:dyDescent="0.25">
      <c r="B6" s="33" t="s">
        <v>110</v>
      </c>
      <c r="C6" s="35">
        <v>1</v>
      </c>
      <c r="D6" s="33">
        <f>1/3</f>
        <v>0.33333333333333331</v>
      </c>
      <c r="E6" s="33">
        <f>1/7</f>
        <v>0.14285714285714285</v>
      </c>
      <c r="F6" s="36">
        <f>1/5</f>
        <v>0.2</v>
      </c>
      <c r="G6" s="36">
        <f>1/5</f>
        <v>0.2</v>
      </c>
      <c r="H6" s="36">
        <f>1/5</f>
        <v>0.2</v>
      </c>
      <c r="I6" s="36">
        <f>1/8</f>
        <v>0.125</v>
      </c>
      <c r="J6" s="36">
        <f>1/5</f>
        <v>0.2</v>
      </c>
      <c r="K6" s="36">
        <f>1/7</f>
        <v>0.14285714285714285</v>
      </c>
      <c r="L6" s="36">
        <f>1/4</f>
        <v>0.25</v>
      </c>
      <c r="M6" s="37">
        <f t="shared" ref="M6:M15" si="0">GEOMEAN(C6:L6)</f>
        <v>0.22550972063684332</v>
      </c>
      <c r="N6" s="38">
        <f>M6/M16</f>
        <v>1.5011791351079645E-2</v>
      </c>
      <c r="Q6" s="11" t="s">
        <v>25</v>
      </c>
    </row>
    <row r="7" spans="1:17" x14ac:dyDescent="0.25">
      <c r="B7" s="33" t="s">
        <v>111</v>
      </c>
      <c r="C7" s="39">
        <f>1/D6</f>
        <v>3</v>
      </c>
      <c r="D7" s="35">
        <v>1</v>
      </c>
      <c r="E7" s="33">
        <f>1/3</f>
        <v>0.33333333333333331</v>
      </c>
      <c r="F7" s="36">
        <f>1/3</f>
        <v>0.33333333333333331</v>
      </c>
      <c r="G7" s="36">
        <f>1/3</f>
        <v>0.33333333333333331</v>
      </c>
      <c r="H7" s="36">
        <f>1/3</f>
        <v>0.33333333333333331</v>
      </c>
      <c r="I7" s="36">
        <f>1/7</f>
        <v>0.14285714285714285</v>
      </c>
      <c r="J7" s="36">
        <f>1/3</f>
        <v>0.33333333333333331</v>
      </c>
      <c r="K7" s="36">
        <f>1/5</f>
        <v>0.2</v>
      </c>
      <c r="L7" s="36">
        <f>1/2</f>
        <v>0.5</v>
      </c>
      <c r="M7" s="37">
        <f t="shared" si="0"/>
        <v>0.42134873472644324</v>
      </c>
      <c r="N7" s="38">
        <f>M7/M16</f>
        <v>2.8048455179192723E-2</v>
      </c>
      <c r="Q7" s="11" t="s">
        <v>30</v>
      </c>
    </row>
    <row r="8" spans="1:17" x14ac:dyDescent="0.25">
      <c r="B8" s="33" t="s">
        <v>112</v>
      </c>
      <c r="C8" s="39">
        <f>1/E6</f>
        <v>7</v>
      </c>
      <c r="D8" s="39">
        <f>1/E7</f>
        <v>3</v>
      </c>
      <c r="E8" s="35">
        <v>1</v>
      </c>
      <c r="F8" s="33">
        <v>2</v>
      </c>
      <c r="G8" s="33">
        <f>2</f>
        <v>2</v>
      </c>
      <c r="H8" s="33">
        <f>5</f>
        <v>5</v>
      </c>
      <c r="I8" s="33">
        <f>1/5</f>
        <v>0.2</v>
      </c>
      <c r="J8" s="33">
        <f>1</f>
        <v>1</v>
      </c>
      <c r="K8" s="36">
        <f>1/3</f>
        <v>0.33333333333333331</v>
      </c>
      <c r="L8" s="33">
        <f>5</f>
        <v>5</v>
      </c>
      <c r="M8" s="37">
        <f t="shared" si="0"/>
        <v>1.6391277527348698</v>
      </c>
      <c r="N8" s="38">
        <f>M8/M16</f>
        <v>0.10911389430278871</v>
      </c>
      <c r="Q8" s="11" t="s">
        <v>33</v>
      </c>
    </row>
    <row r="9" spans="1:17" x14ac:dyDescent="0.25">
      <c r="B9" s="33" t="s">
        <v>113</v>
      </c>
      <c r="C9" s="39">
        <f>1/F6</f>
        <v>5</v>
      </c>
      <c r="D9" s="39">
        <f>1/F7</f>
        <v>3</v>
      </c>
      <c r="E9" s="39">
        <f>1/F8</f>
        <v>0.5</v>
      </c>
      <c r="F9" s="35">
        <v>1</v>
      </c>
      <c r="G9" s="33">
        <f>1/2</f>
        <v>0.5</v>
      </c>
      <c r="H9" s="33">
        <f>3</f>
        <v>3</v>
      </c>
      <c r="I9" s="33">
        <f>1/7</f>
        <v>0.14285714285714285</v>
      </c>
      <c r="J9" s="33">
        <f>1/3</f>
        <v>0.33333333333333331</v>
      </c>
      <c r="K9" s="33">
        <f>1/5</f>
        <v>0.2</v>
      </c>
      <c r="L9" s="33">
        <f>5</f>
        <v>5</v>
      </c>
      <c r="M9" s="37">
        <f t="shared" si="0"/>
        <v>0.93949251148327262</v>
      </c>
      <c r="N9" s="38">
        <f>M9/M16</f>
        <v>6.254038858484795E-2</v>
      </c>
      <c r="Q9" s="11" t="s">
        <v>37</v>
      </c>
    </row>
    <row r="10" spans="1:17" x14ac:dyDescent="0.25">
      <c r="B10" s="33" t="s">
        <v>114</v>
      </c>
      <c r="C10" s="39">
        <f>1/G6</f>
        <v>5</v>
      </c>
      <c r="D10" s="39">
        <f>1/G7</f>
        <v>3</v>
      </c>
      <c r="E10" s="39">
        <f>1/G8</f>
        <v>0.5</v>
      </c>
      <c r="F10" s="39">
        <f>1/G9</f>
        <v>2</v>
      </c>
      <c r="G10" s="35">
        <v>1</v>
      </c>
      <c r="H10" s="33">
        <f>5</f>
        <v>5</v>
      </c>
      <c r="I10" s="33">
        <f>1/5</f>
        <v>0.2</v>
      </c>
      <c r="J10" s="33">
        <f>1</f>
        <v>1</v>
      </c>
      <c r="K10" s="33">
        <f>1/3</f>
        <v>0.33333333333333331</v>
      </c>
      <c r="L10" s="33">
        <f>5</f>
        <v>5</v>
      </c>
      <c r="M10" s="37">
        <f t="shared" si="0"/>
        <v>1.3797296614612149</v>
      </c>
      <c r="N10" s="38">
        <f>M10/M16</f>
        <v>9.1846212838452651E-2</v>
      </c>
      <c r="Q10" s="11" t="s">
        <v>41</v>
      </c>
    </row>
    <row r="11" spans="1:17" x14ac:dyDescent="0.25">
      <c r="B11" s="33" t="s">
        <v>115</v>
      </c>
      <c r="C11" s="39">
        <f>1/H6</f>
        <v>5</v>
      </c>
      <c r="D11" s="39">
        <f>1/H7</f>
        <v>3</v>
      </c>
      <c r="E11" s="39">
        <f>1/H8</f>
        <v>0.2</v>
      </c>
      <c r="F11" s="39">
        <f>1/H9</f>
        <v>0.33333333333333331</v>
      </c>
      <c r="G11" s="39">
        <f>1/H10</f>
        <v>0.2</v>
      </c>
      <c r="H11" s="35">
        <v>1</v>
      </c>
      <c r="I11" s="33">
        <f>1/7</f>
        <v>0.14285714285714285</v>
      </c>
      <c r="J11" s="33">
        <f>1/3</f>
        <v>0.33333333333333331</v>
      </c>
      <c r="K11" s="33">
        <f>1/5</f>
        <v>0.2</v>
      </c>
      <c r="L11" s="33">
        <f>3</f>
        <v>3</v>
      </c>
      <c r="M11" s="37">
        <f t="shared" si="0"/>
        <v>0.59661778461822546</v>
      </c>
      <c r="N11" s="38">
        <f>M11/M16</f>
        <v>3.9715812133239423E-2</v>
      </c>
      <c r="Q11" s="11" t="s">
        <v>46</v>
      </c>
    </row>
    <row r="12" spans="1:17" x14ac:dyDescent="0.25">
      <c r="B12" s="33" t="s">
        <v>116</v>
      </c>
      <c r="C12" s="39">
        <f>1/I6</f>
        <v>8</v>
      </c>
      <c r="D12" s="39">
        <f>1/I7</f>
        <v>7</v>
      </c>
      <c r="E12" s="39">
        <f>1/I8</f>
        <v>5</v>
      </c>
      <c r="F12" s="39">
        <f>1/I9</f>
        <v>7</v>
      </c>
      <c r="G12" s="39">
        <f>1/I10</f>
        <v>5</v>
      </c>
      <c r="H12" s="39">
        <f>1/I11</f>
        <v>7</v>
      </c>
      <c r="I12" s="35">
        <v>1</v>
      </c>
      <c r="J12" s="33">
        <f>5</f>
        <v>5</v>
      </c>
      <c r="K12" s="33">
        <f>4</f>
        <v>4</v>
      </c>
      <c r="L12" s="33">
        <f>7</f>
        <v>7</v>
      </c>
      <c r="M12" s="37">
        <f t="shared" si="0"/>
        <v>4.9916625150938589</v>
      </c>
      <c r="N12" s="38">
        <f>M12/M16</f>
        <v>0.33228632433218458</v>
      </c>
      <c r="Q12" s="11" t="s">
        <v>48</v>
      </c>
    </row>
    <row r="13" spans="1:17" x14ac:dyDescent="0.25">
      <c r="B13" s="33" t="s">
        <v>117</v>
      </c>
      <c r="C13" s="39">
        <f>1/J6</f>
        <v>5</v>
      </c>
      <c r="D13" s="39">
        <f>1/J7</f>
        <v>3</v>
      </c>
      <c r="E13" s="39">
        <f>1/J8</f>
        <v>1</v>
      </c>
      <c r="F13" s="39">
        <f>1/J9</f>
        <v>3</v>
      </c>
      <c r="G13" s="39">
        <f>1/J10</f>
        <v>1</v>
      </c>
      <c r="H13" s="39">
        <f>1/J11</f>
        <v>3</v>
      </c>
      <c r="I13" s="39">
        <f>1/J12</f>
        <v>0.2</v>
      </c>
      <c r="J13" s="35">
        <v>1</v>
      </c>
      <c r="K13" s="33">
        <f>1/4</f>
        <v>0.25</v>
      </c>
      <c r="L13" s="33">
        <f>5</f>
        <v>5</v>
      </c>
      <c r="M13" s="37">
        <f t="shared" si="0"/>
        <v>1.4217635557785027</v>
      </c>
      <c r="N13" s="38">
        <f>M13/M16</f>
        <v>9.4644336348971361E-2</v>
      </c>
      <c r="Q13" s="11" t="s">
        <v>49</v>
      </c>
    </row>
    <row r="14" spans="1:17" x14ac:dyDescent="0.25">
      <c r="B14" s="33" t="s">
        <v>118</v>
      </c>
      <c r="C14" s="39">
        <f>1/K6</f>
        <v>7</v>
      </c>
      <c r="D14" s="39">
        <f>1/K7</f>
        <v>5</v>
      </c>
      <c r="E14" s="39">
        <f>1/K8</f>
        <v>3</v>
      </c>
      <c r="F14" s="39">
        <f>1/K9</f>
        <v>5</v>
      </c>
      <c r="G14" s="39">
        <f>1/K10</f>
        <v>3</v>
      </c>
      <c r="H14" s="39">
        <f>1/K11</f>
        <v>5</v>
      </c>
      <c r="I14" s="39">
        <f>1/K12</f>
        <v>0.25</v>
      </c>
      <c r="J14" s="39">
        <f>1/K13</f>
        <v>4</v>
      </c>
      <c r="K14" s="35">
        <v>1</v>
      </c>
      <c r="L14" s="36">
        <f>8</f>
        <v>8</v>
      </c>
      <c r="M14" s="37">
        <f t="shared" si="0"/>
        <v>3.0194931933648612</v>
      </c>
      <c r="N14" s="38">
        <f>M14/M16</f>
        <v>0.20100242985886119</v>
      </c>
      <c r="Q14" s="11" t="s">
        <v>53</v>
      </c>
    </row>
    <row r="15" spans="1:17" ht="24.75" x14ac:dyDescent="0.25">
      <c r="B15" s="33" t="s">
        <v>119</v>
      </c>
      <c r="C15" s="39">
        <f>1/L6</f>
        <v>4</v>
      </c>
      <c r="D15" s="39">
        <f>1/L7</f>
        <v>2</v>
      </c>
      <c r="E15" s="39">
        <f>1/L8</f>
        <v>0.2</v>
      </c>
      <c r="F15" s="39">
        <f>1/L9</f>
        <v>0.2</v>
      </c>
      <c r="G15" s="39">
        <f>1/L10</f>
        <v>0.2</v>
      </c>
      <c r="H15" s="39">
        <f>1/L11</f>
        <v>0.33333333333333331</v>
      </c>
      <c r="I15" s="39">
        <f>1/L12</f>
        <v>0.14285714285714285</v>
      </c>
      <c r="J15" s="39">
        <f>1/L13</f>
        <v>0.2</v>
      </c>
      <c r="K15" s="39">
        <f>1/L14</f>
        <v>0.125</v>
      </c>
      <c r="L15" s="35">
        <v>1</v>
      </c>
      <c r="M15" s="37">
        <f t="shared" si="0"/>
        <v>0.38742716515497577</v>
      </c>
      <c r="N15" s="38">
        <f>M15/M16</f>
        <v>2.5790355070381688E-2</v>
      </c>
      <c r="Q15" s="11" t="s">
        <v>122</v>
      </c>
    </row>
    <row r="16" spans="1:17" x14ac:dyDescent="0.25">
      <c r="B16" s="33" t="s">
        <v>123</v>
      </c>
      <c r="C16" s="33">
        <f t="shared" ref="C16:M16" si="1">SUM(C6:C15)</f>
        <v>50</v>
      </c>
      <c r="D16" s="33">
        <f t="shared" si="1"/>
        <v>30.333333333333332</v>
      </c>
      <c r="E16" s="33">
        <f t="shared" si="1"/>
        <v>11.876190476190477</v>
      </c>
      <c r="F16" s="33">
        <f t="shared" si="1"/>
        <v>21.066666666666666</v>
      </c>
      <c r="G16" s="33">
        <f t="shared" si="1"/>
        <v>13.433333333333334</v>
      </c>
      <c r="H16" s="33">
        <f t="shared" si="1"/>
        <v>29.866666666666664</v>
      </c>
      <c r="I16" s="33">
        <f t="shared" si="1"/>
        <v>2.5464285714285713</v>
      </c>
      <c r="J16" s="33">
        <f t="shared" si="1"/>
        <v>13.399999999999999</v>
      </c>
      <c r="K16" s="33">
        <f t="shared" si="1"/>
        <v>6.7845238095238098</v>
      </c>
      <c r="L16" s="33">
        <f t="shared" si="1"/>
        <v>39.75</v>
      </c>
      <c r="M16" s="40">
        <f t="shared" si="1"/>
        <v>15.022172595053069</v>
      </c>
      <c r="N16" s="38">
        <f>M16/M16</f>
        <v>1</v>
      </c>
    </row>
    <row r="18" spans="2:7" x14ac:dyDescent="0.25">
      <c r="B18" s="33" t="s">
        <v>124</v>
      </c>
      <c r="C18" s="37">
        <f>MMULT(C16:L16,N6:N15)</f>
        <v>11.137997217139683</v>
      </c>
    </row>
    <row r="19" spans="2:7" x14ac:dyDescent="0.25">
      <c r="B19" s="33" t="s">
        <v>125</v>
      </c>
      <c r="C19" s="37">
        <f>(C18-10)/(10-1)</f>
        <v>0.12644413523774251</v>
      </c>
    </row>
    <row r="20" spans="2:7" x14ac:dyDescent="0.25">
      <c r="B20" s="33" t="s">
        <v>126</v>
      </c>
      <c r="C20" s="41">
        <f>C19/1.4</f>
        <v>9.0317239455530371E-2</v>
      </c>
      <c r="D20" s="42"/>
    </row>
    <row r="21" spans="2:7" x14ac:dyDescent="0.25">
      <c r="C21" s="43"/>
    </row>
    <row r="22" spans="2:7" x14ac:dyDescent="0.25">
      <c r="B22" s="44"/>
      <c r="C22" s="154" t="s">
        <v>127</v>
      </c>
      <c r="D22" s="154"/>
      <c r="E22" s="154"/>
      <c r="F22" s="154"/>
      <c r="G22" s="154"/>
    </row>
    <row r="23" spans="2:7" x14ac:dyDescent="0.25">
      <c r="B23" s="37"/>
      <c r="C23" s="154" t="s">
        <v>128</v>
      </c>
      <c r="D23" s="154"/>
      <c r="E23" s="154"/>
      <c r="F23" s="154"/>
      <c r="G23" s="154"/>
    </row>
    <row r="24" spans="2:7" x14ac:dyDescent="0.25">
      <c r="B24" s="45"/>
      <c r="C24" s="154" t="s">
        <v>129</v>
      </c>
      <c r="D24" s="154"/>
      <c r="E24" s="154"/>
      <c r="F24" s="154"/>
      <c r="G24" s="154"/>
    </row>
  </sheetData>
  <mergeCells count="6">
    <mergeCell ref="C24:G24"/>
    <mergeCell ref="B1:B2"/>
    <mergeCell ref="C1:N2"/>
    <mergeCell ref="B4:N4"/>
    <mergeCell ref="C22:G22"/>
    <mergeCell ref="C23:G23"/>
  </mergeCells>
  <pageMargins left="0.51180555555555496" right="0.51180555555555496" top="0.78749999999999998" bottom="0.78749999999999998" header="0.51180555555555496" footer="0.51180555555555496"/>
  <pageSetup paperSize="9" firstPageNumber="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12</TotalTime>
  <Application>Microsoft Excel</Application>
  <DocSecurity>0</DocSecurity>
  <ScaleCrop>false</ScaleCrop>
  <HeadingPairs>
    <vt:vector size="2" baseType="variant">
      <vt:variant>
        <vt:lpstr>Planilhas</vt:lpstr>
      </vt:variant>
      <vt:variant>
        <vt:i4>5</vt:i4>
      </vt:variant>
    </vt:vector>
  </HeadingPairs>
  <TitlesOfParts>
    <vt:vector size="5" baseType="lpstr">
      <vt:lpstr>Definições</vt:lpstr>
      <vt:lpstr>Pontuação</vt:lpstr>
      <vt:lpstr>Memória de Cálculo</vt:lpstr>
      <vt:lpstr>Matriz de Decisão SVDS</vt:lpstr>
      <vt:lpstr>Matriz Julgamento SVDS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dc:creator>
  <cp:lastModifiedBy>Milena Messias</cp:lastModifiedBy>
  <cp:revision>2</cp:revision>
  <dcterms:created xsi:type="dcterms:W3CDTF">2020-03-31T14:10:59Z</dcterms:created>
  <dcterms:modified xsi:type="dcterms:W3CDTF">2021-02-23T19:08:17Z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